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Work\Desktop\Папа работа 1\0 skladnov\Чайка-2, Репка\Чайка-2\Работа в правлении\Эл.снабжение\ЭП и оплата\0 ЭП и оплата СНТ\"/>
    </mc:Choice>
  </mc:AlternateContent>
  <xr:revisionPtr revIDLastSave="0" documentId="13_ncr:1_{A4FB802A-16AB-42DE-BA15-F28A8B1BF4B0}" xr6:coauthVersionLast="45" xr6:coauthVersionMax="47" xr10:uidLastSave="{00000000-0000-0000-0000-000000000000}"/>
  <bookViews>
    <workbookView xWindow="-108" yWindow="-108" windowWidth="19416" windowHeight="10296" firstSheet="7" activeTab="12" xr2:uid="{00000000-000D-0000-FFFF-FFFF00000000}"/>
  </bookViews>
  <sheets>
    <sheet name="Декабрь пред." sheetId="1" r:id="rId1"/>
    <sheet name="Янв" sheetId="2" r:id="rId2"/>
    <sheet name="Фев" sheetId="3" r:id="rId3"/>
    <sheet name="Мар" sheetId="4" r:id="rId4"/>
    <sheet name="Апр" sheetId="5" r:id="rId5"/>
    <sheet name="Май" sheetId="6" r:id="rId6"/>
    <sheet name="Май 1%потерь" sheetId="16" r:id="rId7"/>
    <sheet name="Июн" sheetId="7" r:id="rId8"/>
    <sheet name="Июл" sheetId="8" r:id="rId9"/>
    <sheet name="Авг" sheetId="9" r:id="rId10"/>
    <sheet name="Сен" sheetId="10" r:id="rId11"/>
    <sheet name="Окт" sheetId="11" r:id="rId12"/>
    <sheet name="Ноя" sheetId="12" r:id="rId13"/>
    <sheet name="Дек" sheetId="13" r:id="rId14"/>
    <sheet name="ЭП по мес" sheetId="14" r:id="rId15"/>
    <sheet name="Потери по мес" sheetId="15" r:id="rId16"/>
  </sheets>
  <definedNames>
    <definedName name="_xlnm.Print_Area" localSheetId="10">Сен!$A$1:$S$28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6" i="11" l="1"/>
  <c r="R26" i="9" l="1"/>
  <c r="P23" i="9"/>
  <c r="D8" i="7" l="1"/>
  <c r="T26" i="16" l="1"/>
  <c r="T24" i="16"/>
  <c r="T28" i="16" s="1"/>
  <c r="L16" i="16"/>
  <c r="K16" i="16"/>
  <c r="J16" i="16"/>
  <c r="D16" i="16"/>
  <c r="I15" i="16"/>
  <c r="H15" i="16"/>
  <c r="F15" i="16"/>
  <c r="D15" i="16"/>
  <c r="G14" i="16"/>
  <c r="K14" i="16" s="1"/>
  <c r="D14" i="16"/>
  <c r="F14" i="16" s="1"/>
  <c r="H14" i="16" s="1"/>
  <c r="F13" i="16"/>
  <c r="H13" i="16" s="1"/>
  <c r="D13" i="16"/>
  <c r="G12" i="16"/>
  <c r="K12" i="16" s="1"/>
  <c r="F12" i="16"/>
  <c r="H12" i="16" s="1"/>
  <c r="D12" i="16"/>
  <c r="K11" i="16"/>
  <c r="J11" i="16"/>
  <c r="D11" i="16"/>
  <c r="F11" i="16" s="1"/>
  <c r="H11" i="16" s="1"/>
  <c r="U10" i="16"/>
  <c r="K10" i="16"/>
  <c r="J10" i="16"/>
  <c r="L10" i="16" s="1"/>
  <c r="D10" i="16"/>
  <c r="J9" i="16"/>
  <c r="D9" i="16"/>
  <c r="F9" i="16" s="1"/>
  <c r="H9" i="16" s="1"/>
  <c r="G8" i="16"/>
  <c r="K8" i="16" s="1"/>
  <c r="F8" i="16"/>
  <c r="H8" i="16" s="1"/>
  <c r="O8" i="16" s="1"/>
  <c r="K7" i="16"/>
  <c r="J7" i="16"/>
  <c r="D7" i="16"/>
  <c r="F7" i="16" s="1"/>
  <c r="H7" i="16" s="1"/>
  <c r="G3" i="16"/>
  <c r="K15" i="16" s="1"/>
  <c r="C3" i="16"/>
  <c r="J15" i="16" s="1"/>
  <c r="O7" i="16" l="1"/>
  <c r="O19" i="16" s="1"/>
  <c r="U7" i="16"/>
  <c r="H18" i="16"/>
  <c r="H19" i="16" s="1"/>
  <c r="H20" i="16" s="1"/>
  <c r="U12" i="16"/>
  <c r="O12" i="16"/>
  <c r="O13" i="16"/>
  <c r="U13" i="16"/>
  <c r="O11" i="16"/>
  <c r="U11" i="16"/>
  <c r="H23" i="16"/>
  <c r="U14" i="16"/>
  <c r="O14" i="16"/>
  <c r="L15" i="16"/>
  <c r="O9" i="16"/>
  <c r="U9" i="16"/>
  <c r="U8" i="16"/>
  <c r="J14" i="16"/>
  <c r="L7" i="16"/>
  <c r="J8" i="16"/>
  <c r="K9" i="16"/>
  <c r="L9" i="16" s="1"/>
  <c r="L11" i="16"/>
  <c r="J12" i="16"/>
  <c r="J13" i="16"/>
  <c r="K13" i="16"/>
  <c r="M9" i="16" l="1"/>
  <c r="L12" i="16"/>
  <c r="L13" i="16"/>
  <c r="L14" i="16"/>
  <c r="P13" i="16"/>
  <c r="R13" i="16" s="1"/>
  <c r="P11" i="16"/>
  <c r="P12" i="16"/>
  <c r="Q12" i="16" s="1"/>
  <c r="P9" i="16"/>
  <c r="P8" i="16"/>
  <c r="P14" i="16"/>
  <c r="Q14" i="16" s="1"/>
  <c r="P7" i="16"/>
  <c r="L8" i="16"/>
  <c r="M7" i="16" s="1"/>
  <c r="Q8" i="16"/>
  <c r="T12" i="16" l="1"/>
  <c r="P19" i="16"/>
  <c r="Q7" i="16"/>
  <c r="T14" i="16"/>
  <c r="M11" i="16"/>
  <c r="R26" i="16" s="1"/>
  <c r="R14" i="16"/>
  <c r="S13" i="16" s="1"/>
  <c r="Q11" i="16"/>
  <c r="T11" i="16" s="1"/>
  <c r="Q13" i="16"/>
  <c r="T13" i="16" s="1"/>
  <c r="Q9" i="16"/>
  <c r="T9" i="16" s="1"/>
  <c r="R12" i="16"/>
  <c r="H24" i="16"/>
  <c r="R8" i="16"/>
  <c r="M13" i="16"/>
  <c r="R24" i="16" s="1"/>
  <c r="R28" i="16" s="1"/>
  <c r="R11" i="16" l="1"/>
  <c r="S11" i="16" s="1"/>
  <c r="Q19" i="16"/>
  <c r="T7" i="16"/>
  <c r="T19" i="16" s="1"/>
  <c r="R7" i="16"/>
  <c r="R9" i="16"/>
  <c r="S9" i="16" s="1"/>
  <c r="S7" i="16" l="1"/>
  <c r="R19" i="16"/>
  <c r="G8" i="13" l="1"/>
  <c r="K8" i="13" s="1"/>
  <c r="F8" i="13"/>
  <c r="K7" i="13"/>
  <c r="J7" i="13"/>
  <c r="F7" i="13"/>
  <c r="H7" i="13" s="1"/>
  <c r="G8" i="12"/>
  <c r="K8" i="12" s="1"/>
  <c r="F8" i="12"/>
  <c r="K7" i="12"/>
  <c r="J7" i="12"/>
  <c r="F7" i="12"/>
  <c r="H7" i="12" s="1"/>
  <c r="G8" i="11"/>
  <c r="K8" i="11" s="1"/>
  <c r="F8" i="11"/>
  <c r="K7" i="11"/>
  <c r="J7" i="11"/>
  <c r="F7" i="11"/>
  <c r="H7" i="11" s="1"/>
  <c r="G8" i="10"/>
  <c r="K8" i="10" s="1"/>
  <c r="F8" i="10"/>
  <c r="H8" i="10" s="1"/>
  <c r="O8" i="10" s="1"/>
  <c r="K7" i="10"/>
  <c r="J7" i="10"/>
  <c r="F7" i="10"/>
  <c r="H7" i="10" s="1"/>
  <c r="K8" i="9"/>
  <c r="J8" i="9"/>
  <c r="G8" i="9"/>
  <c r="F8" i="9"/>
  <c r="H8" i="9" s="1"/>
  <c r="O8" i="9" s="1"/>
  <c r="K7" i="9"/>
  <c r="J7" i="9"/>
  <c r="F7" i="9"/>
  <c r="H7" i="9" s="1"/>
  <c r="O7" i="9" s="1"/>
  <c r="G8" i="8"/>
  <c r="K8" i="8" s="1"/>
  <c r="F8" i="8"/>
  <c r="K7" i="8"/>
  <c r="J7" i="8"/>
  <c r="F7" i="8"/>
  <c r="H7" i="8" s="1"/>
  <c r="K8" i="7"/>
  <c r="G8" i="7"/>
  <c r="J8" i="7" s="1"/>
  <c r="F8" i="7"/>
  <c r="H8" i="7" s="1"/>
  <c r="O8" i="7" s="1"/>
  <c r="K7" i="7"/>
  <c r="J7" i="7"/>
  <c r="F7" i="7"/>
  <c r="H7" i="7" s="1"/>
  <c r="O7" i="7" s="1"/>
  <c r="F8" i="6"/>
  <c r="O8" i="6" s="1"/>
  <c r="F7" i="6"/>
  <c r="H7" i="6" s="1"/>
  <c r="O7" i="6" s="1"/>
  <c r="G8" i="6"/>
  <c r="L8" i="9" l="1"/>
  <c r="O7" i="13"/>
  <c r="L7" i="13"/>
  <c r="J8" i="13"/>
  <c r="H8" i="13"/>
  <c r="O8" i="13" s="1"/>
  <c r="O7" i="12"/>
  <c r="L7" i="12"/>
  <c r="H8" i="12"/>
  <c r="O8" i="12" s="1"/>
  <c r="J8" i="12"/>
  <c r="O7" i="11"/>
  <c r="L7" i="11"/>
  <c r="J8" i="11"/>
  <c r="H8" i="11"/>
  <c r="O8" i="11" s="1"/>
  <c r="O7" i="10"/>
  <c r="L7" i="10"/>
  <c r="J8" i="10"/>
  <c r="L7" i="9"/>
  <c r="M7" i="9" s="1"/>
  <c r="L7" i="8"/>
  <c r="O7" i="8"/>
  <c r="J8" i="8"/>
  <c r="H8" i="8"/>
  <c r="O8" i="8" s="1"/>
  <c r="L8" i="7"/>
  <c r="L7" i="7"/>
  <c r="B5" i="15"/>
  <c r="M7" i="7" l="1"/>
  <c r="L8" i="13"/>
  <c r="M7" i="13" s="1"/>
  <c r="L8" i="12"/>
  <c r="M7" i="12" s="1"/>
  <c r="L8" i="11"/>
  <c r="M7" i="11" s="1"/>
  <c r="L8" i="10"/>
  <c r="M7" i="10" s="1"/>
  <c r="L8" i="8"/>
  <c r="M7" i="8" s="1"/>
  <c r="H23" i="3"/>
  <c r="P26" i="2" l="1"/>
  <c r="P23" i="2" l="1"/>
  <c r="I15" i="13" l="1"/>
  <c r="I15" i="12"/>
  <c r="I15" i="11"/>
  <c r="I15" i="10"/>
  <c r="I15" i="9"/>
  <c r="I15" i="8"/>
  <c r="I15" i="7"/>
  <c r="I15" i="6"/>
  <c r="I15" i="5"/>
  <c r="I15" i="4"/>
  <c r="I15" i="3"/>
  <c r="I15" i="2"/>
  <c r="G1" i="15" l="1"/>
  <c r="E1" i="14"/>
  <c r="M7" i="15"/>
  <c r="L7" i="15"/>
  <c r="K7" i="15"/>
  <c r="J7" i="15"/>
  <c r="I7" i="15"/>
  <c r="H7" i="15"/>
  <c r="G7" i="15"/>
  <c r="F7" i="15"/>
  <c r="E7" i="15"/>
  <c r="E5" i="15"/>
  <c r="D7" i="15"/>
  <c r="D5" i="15"/>
  <c r="C7" i="15"/>
  <c r="C5" i="15"/>
  <c r="B7" i="15"/>
  <c r="O12" i="15"/>
  <c r="M4" i="14"/>
  <c r="L4" i="14"/>
  <c r="K4" i="14"/>
  <c r="J4" i="14"/>
  <c r="I4" i="14"/>
  <c r="H4" i="14"/>
  <c r="G4" i="14"/>
  <c r="F4" i="14"/>
  <c r="D16" i="13"/>
  <c r="D15" i="13"/>
  <c r="D14" i="13"/>
  <c r="D13" i="13"/>
  <c r="D12" i="13"/>
  <c r="D11" i="13"/>
  <c r="D10" i="13"/>
  <c r="D9" i="13"/>
  <c r="D8" i="13"/>
  <c r="D7" i="13"/>
  <c r="T26" i="13"/>
  <c r="T24" i="13"/>
  <c r="K16" i="13"/>
  <c r="J16" i="13"/>
  <c r="L16" i="13" s="1"/>
  <c r="J15" i="13"/>
  <c r="F15" i="13"/>
  <c r="H15" i="13" s="1"/>
  <c r="U14" i="13"/>
  <c r="J14" i="13"/>
  <c r="G14" i="13"/>
  <c r="K14" i="13" s="1"/>
  <c r="F14" i="13"/>
  <c r="H14" i="13" s="1"/>
  <c r="O14" i="13" s="1"/>
  <c r="U13" i="13"/>
  <c r="H13" i="13"/>
  <c r="O13" i="13" s="1"/>
  <c r="F13" i="13"/>
  <c r="U12" i="13"/>
  <c r="G12" i="13"/>
  <c r="K12" i="13" s="1"/>
  <c r="F12" i="13"/>
  <c r="H12" i="13" s="1"/>
  <c r="U11" i="13"/>
  <c r="F11" i="13"/>
  <c r="H11" i="13" s="1"/>
  <c r="U10" i="13"/>
  <c r="K10" i="13"/>
  <c r="J10" i="13"/>
  <c r="L10" i="13" s="1"/>
  <c r="U9" i="13"/>
  <c r="F9" i="13"/>
  <c r="H9" i="13" s="1"/>
  <c r="O9" i="13" s="1"/>
  <c r="U8" i="13"/>
  <c r="U7" i="13"/>
  <c r="G3" i="13"/>
  <c r="K11" i="13" s="1"/>
  <c r="C3" i="13"/>
  <c r="J9" i="13" s="1"/>
  <c r="D16" i="12"/>
  <c r="D15" i="12"/>
  <c r="D14" i="12"/>
  <c r="D13" i="12"/>
  <c r="D12" i="12"/>
  <c r="D11" i="12"/>
  <c r="D10" i="12"/>
  <c r="D9" i="12"/>
  <c r="D8" i="12"/>
  <c r="D7" i="12"/>
  <c r="D16" i="11"/>
  <c r="D15" i="11"/>
  <c r="D14" i="11"/>
  <c r="D13" i="11"/>
  <c r="D12" i="11"/>
  <c r="D11" i="11"/>
  <c r="D10" i="11"/>
  <c r="D9" i="11"/>
  <c r="D8" i="11"/>
  <c r="D7" i="11"/>
  <c r="T26" i="12"/>
  <c r="T24" i="12"/>
  <c r="K16" i="12"/>
  <c r="J16" i="12"/>
  <c r="L16" i="12" s="1"/>
  <c r="J15" i="12"/>
  <c r="F15" i="12"/>
  <c r="H15" i="12" s="1"/>
  <c r="J14" i="12"/>
  <c r="G14" i="12"/>
  <c r="K14" i="12" s="1"/>
  <c r="F14" i="12"/>
  <c r="H14" i="12" s="1"/>
  <c r="F13" i="12"/>
  <c r="H13" i="12" s="1"/>
  <c r="O13" i="12" s="1"/>
  <c r="U12" i="12"/>
  <c r="G12" i="12"/>
  <c r="K12" i="12" s="1"/>
  <c r="F12" i="12"/>
  <c r="H12" i="12" s="1"/>
  <c r="O12" i="12" s="1"/>
  <c r="U11" i="12"/>
  <c r="F11" i="12"/>
  <c r="H11" i="12" s="1"/>
  <c r="U10" i="12"/>
  <c r="K10" i="12"/>
  <c r="J10" i="12"/>
  <c r="L10" i="12" s="1"/>
  <c r="F9" i="12"/>
  <c r="H9" i="12" s="1"/>
  <c r="O9" i="12" s="1"/>
  <c r="U8" i="12"/>
  <c r="U7" i="12"/>
  <c r="G3" i="12"/>
  <c r="K11" i="12" s="1"/>
  <c r="C3" i="12"/>
  <c r="J9" i="12" s="1"/>
  <c r="T26" i="11"/>
  <c r="T24" i="11"/>
  <c r="K16" i="11"/>
  <c r="J16" i="11"/>
  <c r="L16" i="11" s="1"/>
  <c r="J15" i="11"/>
  <c r="F15" i="11"/>
  <c r="H15" i="11" s="1"/>
  <c r="U14" i="11"/>
  <c r="J14" i="11"/>
  <c r="G14" i="11"/>
  <c r="K14" i="11" s="1"/>
  <c r="F14" i="11"/>
  <c r="H14" i="11" s="1"/>
  <c r="O14" i="11" s="1"/>
  <c r="U13" i="11"/>
  <c r="F13" i="11"/>
  <c r="H13" i="11" s="1"/>
  <c r="U12" i="11"/>
  <c r="G12" i="11"/>
  <c r="K12" i="11" s="1"/>
  <c r="F12" i="11"/>
  <c r="H12" i="11" s="1"/>
  <c r="O12" i="11" s="1"/>
  <c r="U11" i="11"/>
  <c r="F11" i="11"/>
  <c r="H11" i="11" s="1"/>
  <c r="U10" i="11"/>
  <c r="K10" i="11"/>
  <c r="J10" i="11"/>
  <c r="L10" i="11" s="1"/>
  <c r="U9" i="11"/>
  <c r="F9" i="11"/>
  <c r="H9" i="11" s="1"/>
  <c r="K6" i="14" s="1"/>
  <c r="U8" i="11"/>
  <c r="U7" i="11"/>
  <c r="G3" i="11"/>
  <c r="K11" i="11" s="1"/>
  <c r="C3" i="11"/>
  <c r="J9" i="11" s="1"/>
  <c r="D16" i="10"/>
  <c r="D15" i="10"/>
  <c r="D14" i="10"/>
  <c r="D13" i="10"/>
  <c r="D12" i="10"/>
  <c r="D11" i="10"/>
  <c r="D10" i="10"/>
  <c r="D9" i="10"/>
  <c r="D8" i="10"/>
  <c r="D7" i="10"/>
  <c r="T26" i="10"/>
  <c r="T24" i="10"/>
  <c r="K16" i="10"/>
  <c r="J16" i="10"/>
  <c r="L16" i="10" s="1"/>
  <c r="J15" i="10"/>
  <c r="F15" i="10"/>
  <c r="H15" i="10" s="1"/>
  <c r="J12" i="14" s="1"/>
  <c r="J14" i="10"/>
  <c r="G14" i="10"/>
  <c r="F14" i="10"/>
  <c r="H14" i="10" s="1"/>
  <c r="O14" i="10" s="1"/>
  <c r="H13" i="10"/>
  <c r="O13" i="10" s="1"/>
  <c r="F13" i="10"/>
  <c r="U12" i="10"/>
  <c r="G12" i="10"/>
  <c r="K12" i="10" s="1"/>
  <c r="F12" i="10"/>
  <c r="H12" i="10" s="1"/>
  <c r="F11" i="10"/>
  <c r="H11" i="10" s="1"/>
  <c r="U11" i="10" s="1"/>
  <c r="U10" i="10"/>
  <c r="K10" i="10"/>
  <c r="L10" i="10" s="1"/>
  <c r="J10" i="10"/>
  <c r="F9" i="10"/>
  <c r="H9" i="10" s="1"/>
  <c r="O9" i="10" s="1"/>
  <c r="U8" i="10"/>
  <c r="U7" i="10"/>
  <c r="G3" i="10"/>
  <c r="K11" i="10" s="1"/>
  <c r="C3" i="10"/>
  <c r="J9" i="10" s="1"/>
  <c r="G3" i="9"/>
  <c r="K11" i="9" s="1"/>
  <c r="C3" i="9"/>
  <c r="J15" i="9" s="1"/>
  <c r="D16" i="9"/>
  <c r="D15" i="9"/>
  <c r="D14" i="9"/>
  <c r="D13" i="9"/>
  <c r="D12" i="9"/>
  <c r="D11" i="9"/>
  <c r="D10" i="9"/>
  <c r="D9" i="9"/>
  <c r="D8" i="9"/>
  <c r="D7" i="9"/>
  <c r="T26" i="9"/>
  <c r="T24" i="9"/>
  <c r="K16" i="9"/>
  <c r="J16" i="9"/>
  <c r="L16" i="9" s="1"/>
  <c r="K15" i="9"/>
  <c r="F15" i="9"/>
  <c r="H15" i="9" s="1"/>
  <c r="I12" i="14" s="1"/>
  <c r="K14" i="9"/>
  <c r="G14" i="9"/>
  <c r="F14" i="9"/>
  <c r="H14" i="9" s="1"/>
  <c r="K13" i="9"/>
  <c r="F13" i="9"/>
  <c r="H13" i="9" s="1"/>
  <c r="U13" i="9" s="1"/>
  <c r="G12" i="9"/>
  <c r="K12" i="9" s="1"/>
  <c r="F12" i="9"/>
  <c r="H12" i="9" s="1"/>
  <c r="O12" i="9" s="1"/>
  <c r="J11" i="9"/>
  <c r="F11" i="9"/>
  <c r="H11" i="9" s="1"/>
  <c r="U11" i="9" s="1"/>
  <c r="U10" i="9"/>
  <c r="K10" i="9"/>
  <c r="J10" i="9"/>
  <c r="L10" i="9" s="1"/>
  <c r="K9" i="9"/>
  <c r="F9" i="9"/>
  <c r="H9" i="9" s="1"/>
  <c r="O9" i="9" s="1"/>
  <c r="U8" i="9"/>
  <c r="U7" i="9"/>
  <c r="D16" i="8"/>
  <c r="D15" i="8"/>
  <c r="D14" i="8"/>
  <c r="D13" i="8"/>
  <c r="D12" i="8"/>
  <c r="D11" i="8"/>
  <c r="D10" i="8"/>
  <c r="D9" i="8"/>
  <c r="D8" i="8"/>
  <c r="D7" i="8"/>
  <c r="T26" i="8"/>
  <c r="T24" i="8"/>
  <c r="K16" i="8"/>
  <c r="J16" i="8"/>
  <c r="L16" i="8" s="1"/>
  <c r="J15" i="8"/>
  <c r="F15" i="8"/>
  <c r="H15" i="8" s="1"/>
  <c r="H12" i="14" s="1"/>
  <c r="U14" i="8"/>
  <c r="J14" i="8"/>
  <c r="G14" i="8"/>
  <c r="K14" i="8" s="1"/>
  <c r="F14" i="8"/>
  <c r="H14" i="8" s="1"/>
  <c r="O14" i="8" s="1"/>
  <c r="U13" i="8"/>
  <c r="F13" i="8"/>
  <c r="H13" i="8" s="1"/>
  <c r="O13" i="8" s="1"/>
  <c r="U12" i="8"/>
  <c r="G12" i="8"/>
  <c r="F12" i="8"/>
  <c r="H12" i="8" s="1"/>
  <c r="O12" i="8" s="1"/>
  <c r="U11" i="8"/>
  <c r="J11" i="8"/>
  <c r="F11" i="8"/>
  <c r="H11" i="8" s="1"/>
  <c r="U10" i="8"/>
  <c r="K10" i="8"/>
  <c r="J10" i="8"/>
  <c r="U9" i="8"/>
  <c r="F9" i="8"/>
  <c r="H9" i="8" s="1"/>
  <c r="U8" i="8"/>
  <c r="U7" i="8"/>
  <c r="K11" i="8"/>
  <c r="J9" i="8"/>
  <c r="D16" i="7"/>
  <c r="D15" i="7"/>
  <c r="D14" i="7"/>
  <c r="D13" i="7"/>
  <c r="D12" i="7"/>
  <c r="D11" i="7"/>
  <c r="D10" i="7"/>
  <c r="D9" i="7"/>
  <c r="D7" i="7"/>
  <c r="T26" i="7"/>
  <c r="T24" i="7"/>
  <c r="K16" i="7"/>
  <c r="J16" i="7"/>
  <c r="L16" i="7" s="1"/>
  <c r="J15" i="7"/>
  <c r="F15" i="7"/>
  <c r="H15" i="7" s="1"/>
  <c r="G12" i="14" s="1"/>
  <c r="U14" i="7"/>
  <c r="J14" i="7"/>
  <c r="G14" i="7"/>
  <c r="K14" i="7" s="1"/>
  <c r="F14" i="7"/>
  <c r="H14" i="7" s="1"/>
  <c r="O14" i="7" s="1"/>
  <c r="U13" i="7"/>
  <c r="F13" i="7"/>
  <c r="H13" i="7" s="1"/>
  <c r="O13" i="7" s="1"/>
  <c r="U12" i="7"/>
  <c r="G12" i="7"/>
  <c r="F12" i="7"/>
  <c r="H12" i="7" s="1"/>
  <c r="O12" i="7" s="1"/>
  <c r="U11" i="7"/>
  <c r="J11" i="7"/>
  <c r="F11" i="7"/>
  <c r="H11" i="7" s="1"/>
  <c r="U10" i="7"/>
  <c r="K10" i="7"/>
  <c r="L10" i="7" s="1"/>
  <c r="J10" i="7"/>
  <c r="U9" i="7"/>
  <c r="F9" i="7"/>
  <c r="H9" i="7" s="1"/>
  <c r="O9" i="7" s="1"/>
  <c r="U8" i="7"/>
  <c r="U7" i="7"/>
  <c r="G3" i="7"/>
  <c r="K11" i="7" s="1"/>
  <c r="C3" i="7"/>
  <c r="J9" i="7" s="1"/>
  <c r="D16" i="6"/>
  <c r="D15" i="6"/>
  <c r="D14" i="6"/>
  <c r="D13" i="6"/>
  <c r="D12" i="6"/>
  <c r="D11" i="6"/>
  <c r="D10" i="6"/>
  <c r="D9" i="6"/>
  <c r="D7" i="6"/>
  <c r="T26" i="6"/>
  <c r="T24" i="6"/>
  <c r="K16" i="6"/>
  <c r="J16" i="6"/>
  <c r="L16" i="6" s="1"/>
  <c r="J15" i="6"/>
  <c r="F15" i="6"/>
  <c r="H15" i="6" s="1"/>
  <c r="F12" i="14" s="1"/>
  <c r="U14" i="6"/>
  <c r="J14" i="6"/>
  <c r="G14" i="6"/>
  <c r="F14" i="6"/>
  <c r="H14" i="6" s="1"/>
  <c r="O14" i="6" s="1"/>
  <c r="F13" i="6"/>
  <c r="H13" i="6" s="1"/>
  <c r="U13" i="6" s="1"/>
  <c r="U12" i="6"/>
  <c r="G12" i="6"/>
  <c r="K12" i="6" s="1"/>
  <c r="F12" i="6"/>
  <c r="H12" i="6" s="1"/>
  <c r="O12" i="6" s="1"/>
  <c r="F11" i="6"/>
  <c r="H11" i="6" s="1"/>
  <c r="U11" i="6" s="1"/>
  <c r="U10" i="6"/>
  <c r="K10" i="6"/>
  <c r="J10" i="6"/>
  <c r="L10" i="6" s="1"/>
  <c r="F9" i="6"/>
  <c r="H9" i="6" s="1"/>
  <c r="O9" i="6" s="1"/>
  <c r="U8" i="6"/>
  <c r="K8" i="6"/>
  <c r="J8" i="6"/>
  <c r="U7" i="6"/>
  <c r="J7" i="6"/>
  <c r="G3" i="6"/>
  <c r="K11" i="6" s="1"/>
  <c r="C3" i="6"/>
  <c r="J9" i="6" s="1"/>
  <c r="D16" i="5"/>
  <c r="D15" i="5"/>
  <c r="D14" i="5"/>
  <c r="D13" i="5"/>
  <c r="D12" i="5"/>
  <c r="D11" i="5"/>
  <c r="D10" i="5"/>
  <c r="D9" i="5"/>
  <c r="D8" i="5"/>
  <c r="D7" i="5"/>
  <c r="T26" i="5"/>
  <c r="T24" i="5"/>
  <c r="K16" i="5"/>
  <c r="J16" i="5"/>
  <c r="L16" i="5" s="1"/>
  <c r="J15" i="5"/>
  <c r="F15" i="5"/>
  <c r="H15" i="5" s="1"/>
  <c r="E12" i="14" s="1"/>
  <c r="J14" i="5"/>
  <c r="G14" i="5"/>
  <c r="F14" i="5"/>
  <c r="H14" i="5" s="1"/>
  <c r="O14" i="5" s="1"/>
  <c r="J13" i="5"/>
  <c r="H13" i="5"/>
  <c r="O13" i="5" s="1"/>
  <c r="F13" i="5"/>
  <c r="J12" i="5"/>
  <c r="G12" i="5"/>
  <c r="F12" i="5"/>
  <c r="H12" i="5" s="1"/>
  <c r="O12" i="5" s="1"/>
  <c r="U11" i="5"/>
  <c r="F11" i="5"/>
  <c r="H11" i="5" s="1"/>
  <c r="U10" i="5"/>
  <c r="K10" i="5"/>
  <c r="L10" i="5" s="1"/>
  <c r="J10" i="5"/>
  <c r="F9" i="5"/>
  <c r="H9" i="5" s="1"/>
  <c r="O9" i="5" s="1"/>
  <c r="U8" i="5"/>
  <c r="K8" i="5"/>
  <c r="J8" i="5"/>
  <c r="L8" i="5" s="1"/>
  <c r="U7" i="5"/>
  <c r="J7" i="5"/>
  <c r="F7" i="5"/>
  <c r="H7" i="5" s="1"/>
  <c r="E4" i="14" s="1"/>
  <c r="G3" i="5"/>
  <c r="K11" i="5" s="1"/>
  <c r="C3" i="5"/>
  <c r="J9" i="5" s="1"/>
  <c r="D16" i="4"/>
  <c r="D15" i="4"/>
  <c r="D14" i="4"/>
  <c r="D13" i="4"/>
  <c r="D12" i="4"/>
  <c r="D11" i="4"/>
  <c r="D10" i="4"/>
  <c r="D9" i="4"/>
  <c r="D8" i="4"/>
  <c r="D7" i="4"/>
  <c r="T26" i="4"/>
  <c r="T24" i="4"/>
  <c r="K16" i="4"/>
  <c r="J16" i="4"/>
  <c r="L16" i="4" s="1"/>
  <c r="F15" i="4"/>
  <c r="H15" i="4" s="1"/>
  <c r="D12" i="14" s="1"/>
  <c r="G14" i="4"/>
  <c r="F14" i="4"/>
  <c r="H14" i="4" s="1"/>
  <c r="O14" i="4" s="1"/>
  <c r="F13" i="4"/>
  <c r="H13" i="4" s="1"/>
  <c r="O13" i="4" s="1"/>
  <c r="U12" i="4"/>
  <c r="G12" i="4"/>
  <c r="K12" i="4" s="1"/>
  <c r="F12" i="4"/>
  <c r="H12" i="4" s="1"/>
  <c r="O12" i="4" s="1"/>
  <c r="F11" i="4"/>
  <c r="H11" i="4" s="1"/>
  <c r="U11" i="4" s="1"/>
  <c r="U10" i="4"/>
  <c r="K10" i="4"/>
  <c r="L10" i="4" s="1"/>
  <c r="J10" i="4"/>
  <c r="U9" i="4"/>
  <c r="F9" i="4"/>
  <c r="H9" i="4" s="1"/>
  <c r="O9" i="4" s="1"/>
  <c r="U8" i="4"/>
  <c r="K8" i="4"/>
  <c r="J8" i="4"/>
  <c r="L8" i="4" s="1"/>
  <c r="U7" i="4"/>
  <c r="J7" i="4"/>
  <c r="F7" i="4"/>
  <c r="H7" i="4" s="1"/>
  <c r="O7" i="4" s="1"/>
  <c r="G3" i="4"/>
  <c r="K11" i="4" s="1"/>
  <c r="C3" i="4"/>
  <c r="J9" i="4" s="1"/>
  <c r="G3" i="3"/>
  <c r="K12" i="3" s="1"/>
  <c r="C3" i="3"/>
  <c r="J13" i="3" s="1"/>
  <c r="D16" i="3"/>
  <c r="D15" i="3"/>
  <c r="D14" i="3"/>
  <c r="D13" i="3"/>
  <c r="D12" i="3"/>
  <c r="D11" i="3"/>
  <c r="D10" i="3"/>
  <c r="D9" i="3"/>
  <c r="D8" i="3"/>
  <c r="D7" i="3"/>
  <c r="T26" i="3"/>
  <c r="T24" i="3"/>
  <c r="K16" i="3"/>
  <c r="J16" i="3"/>
  <c r="K15" i="3"/>
  <c r="F15" i="3"/>
  <c r="H15" i="3" s="1"/>
  <c r="C12" i="14" s="1"/>
  <c r="G14" i="3"/>
  <c r="F14" i="3"/>
  <c r="K13" i="3"/>
  <c r="F13" i="3"/>
  <c r="H13" i="3" s="1"/>
  <c r="U13" i="3" s="1"/>
  <c r="U12" i="3"/>
  <c r="G12" i="3"/>
  <c r="F12" i="3"/>
  <c r="H12" i="3" s="1"/>
  <c r="O12" i="3" s="1"/>
  <c r="F11" i="3"/>
  <c r="H11" i="3" s="1"/>
  <c r="C8" i="14" s="1"/>
  <c r="U10" i="3"/>
  <c r="K10" i="3"/>
  <c r="J10" i="3"/>
  <c r="U9" i="3"/>
  <c r="K9" i="3"/>
  <c r="J9" i="3"/>
  <c r="F9" i="3"/>
  <c r="H9" i="3" s="1"/>
  <c r="O9" i="3" s="1"/>
  <c r="U8" i="3"/>
  <c r="K8" i="3"/>
  <c r="J8" i="3"/>
  <c r="L8" i="3" s="1"/>
  <c r="U7" i="3"/>
  <c r="K7" i="3"/>
  <c r="J7" i="3"/>
  <c r="F7" i="3"/>
  <c r="H7" i="3" s="1"/>
  <c r="C4" i="14" s="1"/>
  <c r="K16" i="2"/>
  <c r="K15" i="2"/>
  <c r="K14" i="2"/>
  <c r="K13" i="2"/>
  <c r="K12" i="2"/>
  <c r="K11" i="2"/>
  <c r="K10" i="2"/>
  <c r="K9" i="2"/>
  <c r="K8" i="2"/>
  <c r="K7" i="2"/>
  <c r="J16" i="2"/>
  <c r="J15" i="2"/>
  <c r="J14" i="2"/>
  <c r="J13" i="2"/>
  <c r="J12" i="2"/>
  <c r="J11" i="2"/>
  <c r="J10" i="2"/>
  <c r="L10" i="2" s="1"/>
  <c r="J9" i="2"/>
  <c r="J8" i="2"/>
  <c r="L8" i="2" s="1"/>
  <c r="J7" i="2"/>
  <c r="D16" i="2"/>
  <c r="D15" i="2"/>
  <c r="D14" i="2"/>
  <c r="D13" i="2"/>
  <c r="D12" i="2"/>
  <c r="D11" i="2"/>
  <c r="D10" i="2"/>
  <c r="D9" i="2"/>
  <c r="D8" i="2"/>
  <c r="D7" i="2"/>
  <c r="F13" i="2"/>
  <c r="H13" i="2" s="1"/>
  <c r="F9" i="2"/>
  <c r="H9" i="2" s="1"/>
  <c r="L9" i="2" s="1"/>
  <c r="F7" i="2"/>
  <c r="H7" i="2" s="1"/>
  <c r="B4" i="14" s="1"/>
  <c r="T26" i="2"/>
  <c r="T24" i="2"/>
  <c r="F15" i="2"/>
  <c r="H15" i="2" s="1"/>
  <c r="B12" i="14" s="1"/>
  <c r="G14" i="2"/>
  <c r="F14" i="2"/>
  <c r="H14" i="2" s="1"/>
  <c r="L14" i="2" s="1"/>
  <c r="G12" i="2"/>
  <c r="F12" i="2"/>
  <c r="H12" i="2" s="1"/>
  <c r="B8" i="14" s="1"/>
  <c r="F11" i="2"/>
  <c r="H11" i="2" s="1"/>
  <c r="U10" i="2"/>
  <c r="U8" i="2"/>
  <c r="T26" i="1"/>
  <c r="T24" i="1"/>
  <c r="P23" i="1"/>
  <c r="F15" i="1"/>
  <c r="H15" i="1" s="1"/>
  <c r="G14" i="1"/>
  <c r="F14" i="1"/>
  <c r="H14" i="1" s="1"/>
  <c r="F13" i="1"/>
  <c r="H13" i="1" s="1"/>
  <c r="G12" i="1"/>
  <c r="F12" i="1"/>
  <c r="H12" i="1" s="1"/>
  <c r="F11" i="1"/>
  <c r="H11" i="1" s="1"/>
  <c r="U10" i="1"/>
  <c r="F9" i="1"/>
  <c r="H9" i="1" s="1"/>
  <c r="U8" i="1"/>
  <c r="F7" i="1"/>
  <c r="H7" i="1" s="1"/>
  <c r="U13" i="12" l="1"/>
  <c r="O14" i="12"/>
  <c r="U14" i="12"/>
  <c r="M10" i="14"/>
  <c r="O12" i="13"/>
  <c r="M8" i="14"/>
  <c r="T28" i="13"/>
  <c r="L6" i="14"/>
  <c r="U9" i="12"/>
  <c r="M6" i="14"/>
  <c r="H20" i="13"/>
  <c r="M12" i="14"/>
  <c r="L10" i="14"/>
  <c r="T28" i="12"/>
  <c r="L8" i="14"/>
  <c r="L12" i="14"/>
  <c r="K12" i="14"/>
  <c r="U14" i="10"/>
  <c r="O13" i="11"/>
  <c r="K10" i="14"/>
  <c r="U13" i="10"/>
  <c r="K8" i="14"/>
  <c r="O9" i="11"/>
  <c r="U9" i="10"/>
  <c r="J6" i="14"/>
  <c r="O14" i="9"/>
  <c r="U14" i="9"/>
  <c r="I10" i="14"/>
  <c r="J10" i="14"/>
  <c r="T28" i="10"/>
  <c r="O12" i="10"/>
  <c r="J8" i="14"/>
  <c r="I8" i="14"/>
  <c r="U12" i="9"/>
  <c r="U9" i="9"/>
  <c r="I6" i="14"/>
  <c r="N12" i="14"/>
  <c r="T28" i="9"/>
  <c r="N4" i="14"/>
  <c r="H10" i="14"/>
  <c r="H8" i="14"/>
  <c r="O9" i="8"/>
  <c r="H6" i="14"/>
  <c r="G6" i="14"/>
  <c r="U9" i="6"/>
  <c r="G10" i="14"/>
  <c r="G8" i="14"/>
  <c r="T28" i="7"/>
  <c r="L8" i="6"/>
  <c r="U14" i="5"/>
  <c r="O13" i="6"/>
  <c r="F10" i="14"/>
  <c r="E10" i="14"/>
  <c r="U13" i="5"/>
  <c r="U12" i="5"/>
  <c r="F8" i="14"/>
  <c r="T28" i="6"/>
  <c r="F6" i="14"/>
  <c r="U9" i="5"/>
  <c r="U14" i="4"/>
  <c r="U13" i="4"/>
  <c r="E8" i="14"/>
  <c r="T28" i="5"/>
  <c r="E6" i="14"/>
  <c r="D10" i="14"/>
  <c r="D8" i="14"/>
  <c r="T28" i="4"/>
  <c r="U11" i="3"/>
  <c r="D4" i="14"/>
  <c r="D6" i="14"/>
  <c r="T28" i="1"/>
  <c r="H14" i="3"/>
  <c r="B10" i="14"/>
  <c r="T28" i="3"/>
  <c r="B6" i="14"/>
  <c r="C6" i="14"/>
  <c r="H19" i="13"/>
  <c r="L14" i="13"/>
  <c r="L9" i="13"/>
  <c r="H18" i="13"/>
  <c r="H23" i="13"/>
  <c r="O11" i="13"/>
  <c r="O19" i="13" s="1"/>
  <c r="K9" i="13"/>
  <c r="J12" i="13"/>
  <c r="J13" i="13"/>
  <c r="K15" i="13"/>
  <c r="L15" i="13" s="1"/>
  <c r="J11" i="13"/>
  <c r="K13" i="13"/>
  <c r="L14" i="11"/>
  <c r="T28" i="11"/>
  <c r="H18" i="11"/>
  <c r="H19" i="11" s="1"/>
  <c r="H20" i="11" s="1"/>
  <c r="H23" i="12"/>
  <c r="O11" i="12"/>
  <c r="O19" i="12" s="1"/>
  <c r="H18" i="12"/>
  <c r="H19" i="12" s="1"/>
  <c r="H20" i="12" s="1"/>
  <c r="L14" i="12"/>
  <c r="K9" i="12"/>
  <c r="L9" i="12" s="1"/>
  <c r="J12" i="12"/>
  <c r="J13" i="12"/>
  <c r="K15" i="12"/>
  <c r="L15" i="12" s="1"/>
  <c r="J11" i="12"/>
  <c r="K13" i="12"/>
  <c r="L9" i="11"/>
  <c r="H23" i="11"/>
  <c r="O11" i="11"/>
  <c r="K9" i="11"/>
  <c r="J12" i="11"/>
  <c r="J13" i="11"/>
  <c r="K15" i="11"/>
  <c r="L15" i="11" s="1"/>
  <c r="J11" i="11"/>
  <c r="K13" i="11"/>
  <c r="H19" i="10"/>
  <c r="H20" i="10" s="1"/>
  <c r="H18" i="10"/>
  <c r="H23" i="10"/>
  <c r="O11" i="10"/>
  <c r="O19" i="10" s="1"/>
  <c r="L14" i="10"/>
  <c r="J12" i="10"/>
  <c r="J13" i="10"/>
  <c r="K14" i="10"/>
  <c r="K15" i="10"/>
  <c r="L15" i="10" s="1"/>
  <c r="K9" i="10"/>
  <c r="L9" i="10" s="1"/>
  <c r="J11" i="10"/>
  <c r="K13" i="10"/>
  <c r="J13" i="9"/>
  <c r="J9" i="9"/>
  <c r="L9" i="9" s="1"/>
  <c r="J14" i="9"/>
  <c r="L13" i="9"/>
  <c r="L15" i="9"/>
  <c r="L14" i="9"/>
  <c r="H23" i="9"/>
  <c r="O11" i="9"/>
  <c r="L11" i="9"/>
  <c r="H18" i="9"/>
  <c r="H19" i="9" s="1"/>
  <c r="H20" i="9" s="1"/>
  <c r="J12" i="9"/>
  <c r="O13" i="9"/>
  <c r="T28" i="8"/>
  <c r="L10" i="8"/>
  <c r="H20" i="8"/>
  <c r="H19" i="8"/>
  <c r="L14" i="8"/>
  <c r="H18" i="8"/>
  <c r="H23" i="8"/>
  <c r="O11" i="8"/>
  <c r="L11" i="8"/>
  <c r="K9" i="8"/>
  <c r="L9" i="8" s="1"/>
  <c r="J12" i="8"/>
  <c r="J13" i="8"/>
  <c r="K15" i="8"/>
  <c r="L15" i="8" s="1"/>
  <c r="K12" i="8"/>
  <c r="K13" i="8"/>
  <c r="L14" i="7"/>
  <c r="H18" i="7"/>
  <c r="H19" i="7" s="1"/>
  <c r="H20" i="7" s="1"/>
  <c r="H23" i="7"/>
  <c r="O11" i="7"/>
  <c r="L11" i="7"/>
  <c r="K9" i="7"/>
  <c r="L9" i="7" s="1"/>
  <c r="J12" i="7"/>
  <c r="J13" i="7"/>
  <c r="K15" i="7"/>
  <c r="L15" i="7" s="1"/>
  <c r="K12" i="7"/>
  <c r="K13" i="7"/>
  <c r="H18" i="6"/>
  <c r="H19" i="6" s="1"/>
  <c r="H20" i="6" s="1"/>
  <c r="H23" i="6"/>
  <c r="O11" i="6"/>
  <c r="K7" i="6"/>
  <c r="J12" i="6"/>
  <c r="J13" i="6"/>
  <c r="K14" i="6"/>
  <c r="L14" i="6" s="1"/>
  <c r="K15" i="6"/>
  <c r="L15" i="6" s="1"/>
  <c r="K9" i="6"/>
  <c r="L9" i="6" s="1"/>
  <c r="L7" i="6"/>
  <c r="J11" i="6"/>
  <c r="K13" i="6"/>
  <c r="H23" i="5"/>
  <c r="O11" i="5"/>
  <c r="L9" i="5"/>
  <c r="H18" i="5"/>
  <c r="H19" i="5" s="1"/>
  <c r="H20" i="5" s="1"/>
  <c r="O7" i="5"/>
  <c r="K7" i="5"/>
  <c r="K14" i="5"/>
  <c r="L14" i="5" s="1"/>
  <c r="K15" i="5"/>
  <c r="L15" i="5" s="1"/>
  <c r="L7" i="5"/>
  <c r="J11" i="5"/>
  <c r="K12" i="5"/>
  <c r="L12" i="5" s="1"/>
  <c r="K13" i="5"/>
  <c r="K9" i="5"/>
  <c r="L13" i="5"/>
  <c r="H18" i="4"/>
  <c r="H19" i="4" s="1"/>
  <c r="H20" i="4" s="1"/>
  <c r="H23" i="4"/>
  <c r="O11" i="4"/>
  <c r="O19" i="4" s="1"/>
  <c r="K9" i="4"/>
  <c r="L9" i="4" s="1"/>
  <c r="J14" i="4"/>
  <c r="J15" i="4"/>
  <c r="K7" i="4"/>
  <c r="J12" i="4"/>
  <c r="J13" i="4"/>
  <c r="K14" i="4"/>
  <c r="K15" i="4"/>
  <c r="L7" i="4"/>
  <c r="J11" i="4"/>
  <c r="K13" i="4"/>
  <c r="L10" i="3"/>
  <c r="K11" i="3"/>
  <c r="L11" i="3" s="1"/>
  <c r="L16" i="3"/>
  <c r="L13" i="3"/>
  <c r="J15" i="3"/>
  <c r="J11" i="3"/>
  <c r="J12" i="3"/>
  <c r="L12" i="3"/>
  <c r="O7" i="3"/>
  <c r="L7" i="3"/>
  <c r="O11" i="3"/>
  <c r="L15" i="3"/>
  <c r="J14" i="3"/>
  <c r="L9" i="3"/>
  <c r="O13" i="3"/>
  <c r="K14" i="3"/>
  <c r="L12" i="2"/>
  <c r="L13" i="2"/>
  <c r="L7" i="2"/>
  <c r="L11" i="2"/>
  <c r="L15" i="2"/>
  <c r="L16" i="2"/>
  <c r="T28" i="2"/>
  <c r="O13" i="2"/>
  <c r="U13" i="2"/>
  <c r="H18" i="2"/>
  <c r="H19" i="2" s="1"/>
  <c r="H20" i="2" s="1"/>
  <c r="O7" i="2"/>
  <c r="U7" i="2"/>
  <c r="O9" i="2"/>
  <c r="U9" i="2"/>
  <c r="H23" i="2"/>
  <c r="U11" i="2"/>
  <c r="O11" i="2"/>
  <c r="O14" i="2"/>
  <c r="U14" i="2"/>
  <c r="U12" i="2"/>
  <c r="O12" i="2"/>
  <c r="U13" i="1"/>
  <c r="O13" i="1"/>
  <c r="H18" i="1"/>
  <c r="H19" i="1" s="1"/>
  <c r="H20" i="1" s="1"/>
  <c r="O7" i="1"/>
  <c r="U7" i="1"/>
  <c r="O9" i="1"/>
  <c r="U9" i="1"/>
  <c r="H23" i="1"/>
  <c r="U11" i="1"/>
  <c r="O11" i="1"/>
  <c r="O14" i="1"/>
  <c r="U14" i="1"/>
  <c r="L13" i="1"/>
  <c r="U12" i="1"/>
  <c r="O12" i="1"/>
  <c r="L15" i="1"/>
  <c r="L7" i="1"/>
  <c r="O19" i="11" l="1"/>
  <c r="P7" i="11" s="1"/>
  <c r="N8" i="14"/>
  <c r="N6" i="14"/>
  <c r="M13" i="9"/>
  <c r="R24" i="9" s="1"/>
  <c r="N10" i="14"/>
  <c r="P7" i="13"/>
  <c r="P8" i="13"/>
  <c r="P7" i="12"/>
  <c r="P8" i="12"/>
  <c r="P7" i="10"/>
  <c r="P8" i="10"/>
  <c r="O19" i="6"/>
  <c r="O14" i="3"/>
  <c r="O19" i="3" s="1"/>
  <c r="U14" i="3"/>
  <c r="O19" i="1"/>
  <c r="P9" i="1" s="1"/>
  <c r="Q9" i="1" s="1"/>
  <c r="H18" i="3"/>
  <c r="H19" i="3" s="1"/>
  <c r="H20" i="3" s="1"/>
  <c r="C10" i="14"/>
  <c r="L11" i="13"/>
  <c r="L13" i="13"/>
  <c r="P11" i="13"/>
  <c r="R11" i="13" s="1"/>
  <c r="P13" i="13"/>
  <c r="P14" i="13"/>
  <c r="P9" i="13"/>
  <c r="P12" i="13"/>
  <c r="Q12" i="13" s="1"/>
  <c r="M9" i="15" s="1"/>
  <c r="L12" i="13"/>
  <c r="M9" i="13"/>
  <c r="P11" i="12"/>
  <c r="Q11" i="12" s="1"/>
  <c r="L8" i="15" s="1"/>
  <c r="P13" i="12"/>
  <c r="Q13" i="12" s="1"/>
  <c r="L10" i="15" s="1"/>
  <c r="P14" i="12"/>
  <c r="P9" i="12"/>
  <c r="P12" i="12"/>
  <c r="M9" i="12"/>
  <c r="L12" i="12"/>
  <c r="L11" i="12"/>
  <c r="L13" i="12"/>
  <c r="M9" i="11"/>
  <c r="L11" i="11"/>
  <c r="L13" i="11"/>
  <c r="L12" i="11"/>
  <c r="P11" i="10"/>
  <c r="Q11" i="10" s="1"/>
  <c r="J8" i="15" s="1"/>
  <c r="P9" i="10"/>
  <c r="P13" i="10"/>
  <c r="Q13" i="10" s="1"/>
  <c r="J10" i="15" s="1"/>
  <c r="P12" i="10"/>
  <c r="P14" i="10"/>
  <c r="M9" i="10"/>
  <c r="L13" i="10"/>
  <c r="L12" i="10"/>
  <c r="L11" i="10"/>
  <c r="O19" i="9"/>
  <c r="P13" i="9" s="1"/>
  <c r="L12" i="9"/>
  <c r="H24" i="9" s="1"/>
  <c r="M9" i="9"/>
  <c r="O19" i="8"/>
  <c r="M9" i="8"/>
  <c r="L13" i="8"/>
  <c r="L12" i="8"/>
  <c r="M11" i="8" s="1"/>
  <c r="R26" i="8" s="1"/>
  <c r="M9" i="7"/>
  <c r="L13" i="7"/>
  <c r="L12" i="7"/>
  <c r="M11" i="7" s="1"/>
  <c r="R26" i="7" s="1"/>
  <c r="O19" i="7"/>
  <c r="M9" i="6"/>
  <c r="M7" i="6"/>
  <c r="L13" i="6"/>
  <c r="L12" i="6"/>
  <c r="L11" i="6"/>
  <c r="O19" i="5"/>
  <c r="P11" i="5" s="1"/>
  <c r="M13" i="5"/>
  <c r="R24" i="5" s="1"/>
  <c r="M9" i="5"/>
  <c r="L11" i="5"/>
  <c r="M7" i="5"/>
  <c r="M9" i="4"/>
  <c r="P11" i="4"/>
  <c r="P13" i="4"/>
  <c r="P12" i="4"/>
  <c r="Q12" i="4" s="1"/>
  <c r="D9" i="15" s="1"/>
  <c r="P7" i="4"/>
  <c r="P14" i="4"/>
  <c r="P9" i="4"/>
  <c r="M7" i="4"/>
  <c r="L15" i="4"/>
  <c r="L12" i="4"/>
  <c r="L11" i="4"/>
  <c r="L13" i="4"/>
  <c r="L14" i="4"/>
  <c r="M9" i="3"/>
  <c r="M11" i="3"/>
  <c r="R26" i="3" s="1"/>
  <c r="L14" i="3"/>
  <c r="M7" i="3"/>
  <c r="M7" i="2"/>
  <c r="O19" i="2"/>
  <c r="P12" i="1"/>
  <c r="R12" i="1" s="1"/>
  <c r="P7" i="1"/>
  <c r="M7" i="1"/>
  <c r="L14" i="1"/>
  <c r="L12" i="1"/>
  <c r="L9" i="1"/>
  <c r="L11" i="1"/>
  <c r="M13" i="1"/>
  <c r="R24" i="1" s="1"/>
  <c r="R13" i="13" l="1"/>
  <c r="P13" i="11"/>
  <c r="P9" i="11"/>
  <c r="P14" i="11"/>
  <c r="Q14" i="11" s="1"/>
  <c r="R14" i="11" s="1"/>
  <c r="P8" i="11"/>
  <c r="P12" i="11"/>
  <c r="Q12" i="11" s="1"/>
  <c r="K9" i="15" s="1"/>
  <c r="P11" i="11"/>
  <c r="Q11" i="11" s="1"/>
  <c r="K8" i="15" s="1"/>
  <c r="R12" i="10"/>
  <c r="P12" i="9"/>
  <c r="Q12" i="9" s="1"/>
  <c r="I9" i="15" s="1"/>
  <c r="P11" i="9"/>
  <c r="Q11" i="9" s="1"/>
  <c r="R7" i="13"/>
  <c r="Q7" i="13"/>
  <c r="M4" i="15" s="1"/>
  <c r="R8" i="13"/>
  <c r="Q8" i="13"/>
  <c r="M5" i="15" s="1"/>
  <c r="R7" i="12"/>
  <c r="Q7" i="12"/>
  <c r="L4" i="15" s="1"/>
  <c r="Q8" i="12"/>
  <c r="L5" i="15" s="1"/>
  <c r="R7" i="11"/>
  <c r="Q7" i="11"/>
  <c r="K4" i="15" s="1"/>
  <c r="Q8" i="11"/>
  <c r="K5" i="15" s="1"/>
  <c r="R7" i="10"/>
  <c r="Q7" i="10"/>
  <c r="J4" i="15" s="1"/>
  <c r="Q8" i="10"/>
  <c r="J5" i="15" s="1"/>
  <c r="P7" i="9"/>
  <c r="P8" i="9"/>
  <c r="P9" i="9"/>
  <c r="P14" i="9"/>
  <c r="Q14" i="9" s="1"/>
  <c r="P7" i="8"/>
  <c r="P8" i="8"/>
  <c r="P13" i="8"/>
  <c r="Q13" i="8" s="1"/>
  <c r="P14" i="8"/>
  <c r="P11" i="8"/>
  <c r="P12" i="8"/>
  <c r="Q12" i="8" s="1"/>
  <c r="H9" i="15" s="1"/>
  <c r="P9" i="8"/>
  <c r="Q9" i="8" s="1"/>
  <c r="P8" i="7"/>
  <c r="P7" i="7"/>
  <c r="P11" i="6"/>
  <c r="P8" i="6"/>
  <c r="P7" i="6"/>
  <c r="P14" i="6"/>
  <c r="Q14" i="6" s="1"/>
  <c r="P13" i="6"/>
  <c r="P9" i="6"/>
  <c r="P12" i="6"/>
  <c r="R12" i="6" s="1"/>
  <c r="Q14" i="4"/>
  <c r="D11" i="15" s="1"/>
  <c r="P14" i="1"/>
  <c r="Q14" i="1" s="1"/>
  <c r="P13" i="1"/>
  <c r="R13" i="1" s="1"/>
  <c r="P11" i="1"/>
  <c r="P19" i="1" s="1"/>
  <c r="R13" i="4"/>
  <c r="Q11" i="13"/>
  <c r="M8" i="15" s="1"/>
  <c r="Q13" i="13"/>
  <c r="R9" i="13"/>
  <c r="S9" i="13" s="1"/>
  <c r="Q9" i="13"/>
  <c r="M13" i="13"/>
  <c r="R24" i="13" s="1"/>
  <c r="R14" i="13"/>
  <c r="S13" i="13" s="1"/>
  <c r="Q14" i="13"/>
  <c r="P19" i="13"/>
  <c r="T12" i="13"/>
  <c r="R12" i="13"/>
  <c r="S11" i="13" s="1"/>
  <c r="T11" i="13"/>
  <c r="H24" i="13"/>
  <c r="M11" i="13"/>
  <c r="R26" i="13" s="1"/>
  <c r="R11" i="12"/>
  <c r="R12" i="12"/>
  <c r="T13" i="12"/>
  <c r="M13" i="12"/>
  <c r="R24" i="12" s="1"/>
  <c r="Q9" i="12"/>
  <c r="R9" i="12" s="1"/>
  <c r="S9" i="12" s="1"/>
  <c r="Q14" i="12"/>
  <c r="R14" i="12" s="1"/>
  <c r="T11" i="12"/>
  <c r="H24" i="12"/>
  <c r="M11" i="12"/>
  <c r="R26" i="12" s="1"/>
  <c r="Q12" i="12"/>
  <c r="P19" i="12"/>
  <c r="R13" i="12"/>
  <c r="M13" i="11"/>
  <c r="R24" i="11" s="1"/>
  <c r="R13" i="11"/>
  <c r="Q13" i="11"/>
  <c r="Q9" i="11"/>
  <c r="H24" i="11"/>
  <c r="M11" i="11"/>
  <c r="R13" i="10"/>
  <c r="T13" i="10"/>
  <c r="M13" i="10"/>
  <c r="R24" i="10" s="1"/>
  <c r="R14" i="10"/>
  <c r="Q14" i="10"/>
  <c r="Q9" i="10"/>
  <c r="R9" i="10" s="1"/>
  <c r="S9" i="10" s="1"/>
  <c r="T11" i="10"/>
  <c r="H24" i="10"/>
  <c r="M11" i="10"/>
  <c r="R26" i="10" s="1"/>
  <c r="Q12" i="10"/>
  <c r="P19" i="10"/>
  <c r="R11" i="10"/>
  <c r="M11" i="9"/>
  <c r="R28" i="9" s="1"/>
  <c r="Q13" i="9"/>
  <c r="R13" i="9"/>
  <c r="T12" i="9"/>
  <c r="Q9" i="9"/>
  <c r="R12" i="9"/>
  <c r="R12" i="8"/>
  <c r="R13" i="8"/>
  <c r="M13" i="8"/>
  <c r="R24" i="8" s="1"/>
  <c r="R28" i="8" s="1"/>
  <c r="H24" i="8"/>
  <c r="P11" i="7"/>
  <c r="P9" i="7"/>
  <c r="P13" i="7"/>
  <c r="P12" i="7"/>
  <c r="P14" i="7"/>
  <c r="M13" i="7"/>
  <c r="R24" i="7" s="1"/>
  <c r="R28" i="7" s="1"/>
  <c r="H24" i="7"/>
  <c r="H24" i="6"/>
  <c r="M11" i="6"/>
  <c r="R26" i="6" s="1"/>
  <c r="M13" i="6"/>
  <c r="R24" i="6" s="1"/>
  <c r="P13" i="5"/>
  <c r="R13" i="5" s="1"/>
  <c r="P14" i="5"/>
  <c r="Q14" i="5" s="1"/>
  <c r="P12" i="5"/>
  <c r="R12" i="5" s="1"/>
  <c r="P9" i="5"/>
  <c r="P7" i="5"/>
  <c r="Q7" i="5" s="1"/>
  <c r="E4" i="15" s="1"/>
  <c r="Q11" i="5"/>
  <c r="R11" i="5" s="1"/>
  <c r="H24" i="5"/>
  <c r="M11" i="5"/>
  <c r="R26" i="5" s="1"/>
  <c r="R28" i="5" s="1"/>
  <c r="T12" i="4"/>
  <c r="Q13" i="4"/>
  <c r="D10" i="15" s="1"/>
  <c r="Q9" i="4"/>
  <c r="R9" i="4" s="1"/>
  <c r="S9" i="4" s="1"/>
  <c r="H24" i="4"/>
  <c r="M11" i="4"/>
  <c r="R26" i="4" s="1"/>
  <c r="Q11" i="4"/>
  <c r="R11" i="4" s="1"/>
  <c r="P19" i="4"/>
  <c r="Q7" i="4"/>
  <c r="D4" i="15" s="1"/>
  <c r="M13" i="4"/>
  <c r="R24" i="4" s="1"/>
  <c r="R12" i="4"/>
  <c r="M13" i="3"/>
  <c r="R24" i="3" s="1"/>
  <c r="R28" i="3" s="1"/>
  <c r="P11" i="3"/>
  <c r="P12" i="3"/>
  <c r="P7" i="3"/>
  <c r="P14" i="3"/>
  <c r="P9" i="3"/>
  <c r="P13" i="3"/>
  <c r="H24" i="3"/>
  <c r="M13" i="2"/>
  <c r="R24" i="2" s="1"/>
  <c r="M11" i="2"/>
  <c r="R26" i="2" s="1"/>
  <c r="H24" i="2"/>
  <c r="M9" i="2"/>
  <c r="P13" i="2"/>
  <c r="P12" i="2"/>
  <c r="P9" i="2"/>
  <c r="P11" i="2"/>
  <c r="P14" i="2"/>
  <c r="P7" i="2"/>
  <c r="R14" i="1"/>
  <c r="T9" i="1"/>
  <c r="M9" i="1"/>
  <c r="T14" i="1"/>
  <c r="Q13" i="1"/>
  <c r="T13" i="1" s="1"/>
  <c r="H24" i="1"/>
  <c r="M11" i="1"/>
  <c r="R26" i="1" s="1"/>
  <c r="R28" i="1" s="1"/>
  <c r="Q12" i="1"/>
  <c r="T12" i="1" s="1"/>
  <c r="Q7" i="1"/>
  <c r="R7" i="1" s="1"/>
  <c r="Q11" i="1"/>
  <c r="T11" i="1" s="1"/>
  <c r="R9" i="1"/>
  <c r="S9" i="1" s="1"/>
  <c r="R8" i="12" l="1"/>
  <c r="T11" i="11"/>
  <c r="R11" i="11"/>
  <c r="R8" i="11"/>
  <c r="S7" i="11" s="1"/>
  <c r="R9" i="11"/>
  <c r="S9" i="11" s="1"/>
  <c r="P19" i="11"/>
  <c r="R12" i="11"/>
  <c r="T12" i="11"/>
  <c r="S11" i="12"/>
  <c r="R8" i="10"/>
  <c r="S7" i="10"/>
  <c r="S11" i="10"/>
  <c r="R9" i="9"/>
  <c r="S9" i="9" s="1"/>
  <c r="R11" i="9"/>
  <c r="S11" i="9" s="1"/>
  <c r="P19" i="9"/>
  <c r="R9" i="8"/>
  <c r="S9" i="8" s="1"/>
  <c r="Q11" i="6"/>
  <c r="T11" i="6" s="1"/>
  <c r="T14" i="13"/>
  <c r="M11" i="15"/>
  <c r="T13" i="13"/>
  <c r="M10" i="15"/>
  <c r="T9" i="13"/>
  <c r="M6" i="15"/>
  <c r="S7" i="13"/>
  <c r="T9" i="12"/>
  <c r="L6" i="15"/>
  <c r="T12" i="12"/>
  <c r="L9" i="15"/>
  <c r="T14" i="12"/>
  <c r="L11" i="15"/>
  <c r="S7" i="12"/>
  <c r="T14" i="11"/>
  <c r="K11" i="15"/>
  <c r="T13" i="11"/>
  <c r="K10" i="15"/>
  <c r="T9" i="11"/>
  <c r="K6" i="15"/>
  <c r="T14" i="10"/>
  <c r="J11" i="15"/>
  <c r="T12" i="10"/>
  <c r="J9" i="15"/>
  <c r="T9" i="10"/>
  <c r="J6" i="15"/>
  <c r="R14" i="9"/>
  <c r="S13" i="9" s="1"/>
  <c r="T14" i="9"/>
  <c r="I11" i="15"/>
  <c r="Q8" i="9"/>
  <c r="I5" i="15" s="1"/>
  <c r="T11" i="9"/>
  <c r="I8" i="15"/>
  <c r="T9" i="9"/>
  <c r="I6" i="15"/>
  <c r="T13" i="9"/>
  <c r="I10" i="15"/>
  <c r="R7" i="9"/>
  <c r="Q7" i="9"/>
  <c r="I4" i="15" s="1"/>
  <c r="Q7" i="8"/>
  <c r="H4" i="15" s="1"/>
  <c r="R7" i="8"/>
  <c r="P19" i="8"/>
  <c r="Q8" i="8"/>
  <c r="R8" i="8" s="1"/>
  <c r="Q14" i="8"/>
  <c r="T14" i="8" s="1"/>
  <c r="T13" i="8"/>
  <c r="H10" i="15"/>
  <c r="H5" i="15"/>
  <c r="T9" i="8"/>
  <c r="H6" i="15"/>
  <c r="Q11" i="8"/>
  <c r="R11" i="8" s="1"/>
  <c r="S11" i="8" s="1"/>
  <c r="T12" i="8"/>
  <c r="R8" i="7"/>
  <c r="Q8" i="7"/>
  <c r="G5" i="15" s="1"/>
  <c r="R7" i="7"/>
  <c r="Q7" i="7"/>
  <c r="G4" i="15" s="1"/>
  <c r="Q12" i="6"/>
  <c r="T12" i="6" s="1"/>
  <c r="Q8" i="6"/>
  <c r="F5" i="15" s="1"/>
  <c r="Q7" i="6"/>
  <c r="F4" i="15" s="1"/>
  <c r="R14" i="6"/>
  <c r="Q9" i="6"/>
  <c r="T9" i="6" s="1"/>
  <c r="R13" i="6"/>
  <c r="Q13" i="6"/>
  <c r="P19" i="6"/>
  <c r="T14" i="6"/>
  <c r="F11" i="15"/>
  <c r="R14" i="4"/>
  <c r="S13" i="4" s="1"/>
  <c r="T14" i="4"/>
  <c r="Q13" i="5"/>
  <c r="T13" i="5" s="1"/>
  <c r="R7" i="5"/>
  <c r="S7" i="5" s="1"/>
  <c r="R7" i="4"/>
  <c r="P19" i="5"/>
  <c r="T11" i="5"/>
  <c r="E8" i="15"/>
  <c r="Q12" i="5"/>
  <c r="T14" i="5"/>
  <c r="E11" i="15"/>
  <c r="Q9" i="5"/>
  <c r="R9" i="5" s="1"/>
  <c r="S9" i="5" s="1"/>
  <c r="R28" i="4"/>
  <c r="T13" i="4"/>
  <c r="T11" i="4"/>
  <c r="D8" i="15"/>
  <c r="T9" i="4"/>
  <c r="D6" i="15"/>
  <c r="R11" i="1"/>
  <c r="S11" i="1" s="1"/>
  <c r="Q19" i="13"/>
  <c r="T7" i="13"/>
  <c r="R19" i="13"/>
  <c r="R28" i="13"/>
  <c r="S13" i="12"/>
  <c r="S13" i="11"/>
  <c r="R19" i="12"/>
  <c r="Q19" i="12"/>
  <c r="T7" i="12"/>
  <c r="R28" i="12"/>
  <c r="R28" i="11"/>
  <c r="Q19" i="11"/>
  <c r="T7" i="11"/>
  <c r="R28" i="10"/>
  <c r="R19" i="10"/>
  <c r="Q19" i="10"/>
  <c r="T7" i="10"/>
  <c r="S13" i="10"/>
  <c r="R12" i="7"/>
  <c r="Q12" i="7"/>
  <c r="R13" i="7"/>
  <c r="Q13" i="7"/>
  <c r="R14" i="7"/>
  <c r="Q14" i="7"/>
  <c r="R9" i="7"/>
  <c r="S9" i="7" s="1"/>
  <c r="Q9" i="7"/>
  <c r="P19" i="7"/>
  <c r="R11" i="7"/>
  <c r="Q11" i="7"/>
  <c r="R28" i="6"/>
  <c r="R14" i="5"/>
  <c r="S13" i="5" s="1"/>
  <c r="S11" i="5"/>
  <c r="T7" i="5"/>
  <c r="Q19" i="4"/>
  <c r="T7" i="4"/>
  <c r="S11" i="4"/>
  <c r="Q13" i="3"/>
  <c r="R13" i="3"/>
  <c r="R12" i="3"/>
  <c r="Q12" i="3"/>
  <c r="Q9" i="3"/>
  <c r="R9" i="3" s="1"/>
  <c r="S9" i="3" s="1"/>
  <c r="Q11" i="3"/>
  <c r="R11" i="3" s="1"/>
  <c r="R14" i="3"/>
  <c r="Q14" i="3"/>
  <c r="P19" i="3"/>
  <c r="Q7" i="3"/>
  <c r="C4" i="15" s="1"/>
  <c r="P19" i="2"/>
  <c r="Q7" i="2"/>
  <c r="R12" i="2"/>
  <c r="Q12" i="2"/>
  <c r="Q14" i="2"/>
  <c r="R13" i="2"/>
  <c r="Q13" i="2"/>
  <c r="Q11" i="2"/>
  <c r="Q9" i="2"/>
  <c r="R28" i="2"/>
  <c r="S7" i="1"/>
  <c r="Q19" i="1"/>
  <c r="T7" i="1"/>
  <c r="T19" i="1" s="1"/>
  <c r="S13" i="1"/>
  <c r="T19" i="13" l="1"/>
  <c r="R19" i="11"/>
  <c r="S11" i="11"/>
  <c r="R8" i="9"/>
  <c r="R19" i="9" s="1"/>
  <c r="R14" i="8"/>
  <c r="S13" i="8" s="1"/>
  <c r="Q19" i="9"/>
  <c r="T7" i="9"/>
  <c r="T19" i="9" s="1"/>
  <c r="H11" i="15"/>
  <c r="R8" i="6"/>
  <c r="R7" i="6"/>
  <c r="R9" i="6"/>
  <c r="S9" i="6" s="1"/>
  <c r="R11" i="6"/>
  <c r="S11" i="6" s="1"/>
  <c r="F8" i="15"/>
  <c r="F9" i="15"/>
  <c r="S11" i="7"/>
  <c r="S7" i="7"/>
  <c r="S13" i="6"/>
  <c r="S13" i="7"/>
  <c r="T19" i="12"/>
  <c r="T19" i="11"/>
  <c r="T19" i="10"/>
  <c r="S7" i="8"/>
  <c r="Q19" i="8"/>
  <c r="T7" i="8"/>
  <c r="T11" i="8"/>
  <c r="H8" i="15"/>
  <c r="T14" i="7"/>
  <c r="G11" i="15"/>
  <c r="T9" i="7"/>
  <c r="G6" i="15"/>
  <c r="T13" i="7"/>
  <c r="G10" i="15"/>
  <c r="T11" i="7"/>
  <c r="G8" i="15"/>
  <c r="T12" i="7"/>
  <c r="G9" i="15"/>
  <c r="T7" i="6"/>
  <c r="S7" i="6"/>
  <c r="F6" i="15"/>
  <c r="Q19" i="6"/>
  <c r="F10" i="15"/>
  <c r="T13" i="6"/>
  <c r="R19" i="4"/>
  <c r="E10" i="15"/>
  <c r="S7" i="4"/>
  <c r="T12" i="5"/>
  <c r="E9" i="15"/>
  <c r="Q19" i="5"/>
  <c r="T9" i="5"/>
  <c r="E6" i="15"/>
  <c r="R7" i="3"/>
  <c r="R19" i="3" s="1"/>
  <c r="T19" i="4"/>
  <c r="S11" i="3"/>
  <c r="R19" i="1"/>
  <c r="T9" i="2"/>
  <c r="B6" i="15"/>
  <c r="T14" i="2"/>
  <c r="B11" i="15"/>
  <c r="T14" i="3"/>
  <c r="C11" i="15"/>
  <c r="T9" i="3"/>
  <c r="C6" i="15"/>
  <c r="T11" i="2"/>
  <c r="B8" i="15"/>
  <c r="T12" i="2"/>
  <c r="B9" i="15"/>
  <c r="T13" i="3"/>
  <c r="C10" i="15"/>
  <c r="T13" i="2"/>
  <c r="B10" i="15"/>
  <c r="T11" i="3"/>
  <c r="C8" i="15"/>
  <c r="T12" i="3"/>
  <c r="C9" i="15"/>
  <c r="R7" i="2"/>
  <c r="S7" i="2" s="1"/>
  <c r="B4" i="15"/>
  <c r="N4" i="15" s="1"/>
  <c r="Q4" i="15" s="1"/>
  <c r="N16" i="15" s="1"/>
  <c r="Q19" i="7"/>
  <c r="T7" i="7"/>
  <c r="R19" i="7"/>
  <c r="R19" i="5"/>
  <c r="S13" i="3"/>
  <c r="Q19" i="3"/>
  <c r="T7" i="3"/>
  <c r="R11" i="2"/>
  <c r="S11" i="2" s="1"/>
  <c r="R14" i="2"/>
  <c r="S13" i="2" s="1"/>
  <c r="R9" i="2"/>
  <c r="S9" i="2" s="1"/>
  <c r="Q19" i="2"/>
  <c r="T7" i="2"/>
  <c r="S7" i="9" l="1"/>
  <c r="R19" i="8"/>
  <c r="R19" i="6"/>
  <c r="T19" i="8"/>
  <c r="T19" i="7"/>
  <c r="T19" i="6"/>
  <c r="T19" i="5"/>
  <c r="S7" i="3"/>
  <c r="T19" i="2"/>
  <c r="N6" i="15"/>
  <c r="Q6" i="15" s="1"/>
  <c r="N18" i="15" s="1"/>
  <c r="T19" i="3"/>
  <c r="N10" i="15"/>
  <c r="Q10" i="15" s="1"/>
  <c r="N22" i="15" s="1"/>
  <c r="N8" i="15"/>
  <c r="Q8" i="15" s="1"/>
  <c r="N20" i="15" s="1"/>
  <c r="R19" i="2"/>
  <c r="N12" i="15" l="1"/>
  <c r="Q12" i="15" s="1"/>
</calcChain>
</file>

<file path=xl/sharedStrings.xml><?xml version="1.0" encoding="utf-8"?>
<sst xmlns="http://schemas.openxmlformats.org/spreadsheetml/2006/main" count="1483" uniqueCount="123">
  <si>
    <t>Расчеты потерь электроэнергии в сетях и оплаты за них</t>
  </si>
  <si>
    <t>Месяц:</t>
  </si>
  <si>
    <t>декабрь</t>
  </si>
  <si>
    <t>Год:</t>
  </si>
  <si>
    <t>число:</t>
  </si>
  <si>
    <t>Кол-во суток:</t>
  </si>
  <si>
    <t>СНТ</t>
  </si>
  <si>
    <t>Данные узла учета</t>
  </si>
  <si>
    <t xml:space="preserve">Показания </t>
  </si>
  <si>
    <t>Разница</t>
  </si>
  <si>
    <t xml:space="preserve">К-т </t>
  </si>
  <si>
    <t xml:space="preserve">Общее </t>
  </si>
  <si>
    <t>В т.ч</t>
  </si>
  <si>
    <t>Тобщ,</t>
  </si>
  <si>
    <t>Тсель</t>
  </si>
  <si>
    <t>Сумма за</t>
  </si>
  <si>
    <t>По СНТ без</t>
  </si>
  <si>
    <t>Расч.%</t>
  </si>
  <si>
    <t>Расч.</t>
  </si>
  <si>
    <t>Реальн.</t>
  </si>
  <si>
    <t xml:space="preserve">К оплате </t>
  </si>
  <si>
    <t xml:space="preserve">По СНТ с </t>
  </si>
  <si>
    <t xml:space="preserve">С учетом </t>
  </si>
  <si>
    <t>Среднее ЭП</t>
  </si>
  <si>
    <t>Марка</t>
  </si>
  <si>
    <t>№</t>
  </si>
  <si>
    <t>эл.счетчиков</t>
  </si>
  <si>
    <t>трансф.</t>
  </si>
  <si>
    <t>ЭП</t>
  </si>
  <si>
    <t>ЭП по</t>
  </si>
  <si>
    <t>руб./</t>
  </si>
  <si>
    <t>(х0,7)</t>
  </si>
  <si>
    <t>эл.энергию,</t>
  </si>
  <si>
    <t>учета потерь,</t>
  </si>
  <si>
    <t>потерь</t>
  </si>
  <si>
    <t xml:space="preserve">потери </t>
  </si>
  <si>
    <t>потери,</t>
  </si>
  <si>
    <t xml:space="preserve">потери, </t>
  </si>
  <si>
    <t xml:space="preserve">с учетом </t>
  </si>
  <si>
    <t xml:space="preserve">учетом </t>
  </si>
  <si>
    <t xml:space="preserve">минусовых </t>
  </si>
  <si>
    <t>за сутки, кВт*ч</t>
  </si>
  <si>
    <t>эл.счетчика</t>
  </si>
  <si>
    <t>нач.</t>
  </si>
  <si>
    <t>кон.</t>
  </si>
  <si>
    <t>счетч.</t>
  </si>
  <si>
    <t>кВт*ч</t>
  </si>
  <si>
    <t>Тсель.</t>
  </si>
  <si>
    <t>руб.</t>
  </si>
  <si>
    <t>потерь, руб.</t>
  </si>
  <si>
    <t>без потерь</t>
  </si>
  <si>
    <t>Репка</t>
  </si>
  <si>
    <t xml:space="preserve">СЕ-303-S31-503 </t>
  </si>
  <si>
    <t>009217035002667</t>
  </si>
  <si>
    <t>Репка-2</t>
  </si>
  <si>
    <t xml:space="preserve">Мерк.-230АМ-03 </t>
  </si>
  <si>
    <t>38578879-19г.</t>
  </si>
  <si>
    <t>(техн.учет)</t>
  </si>
  <si>
    <t>Чайка</t>
  </si>
  <si>
    <t>14264775-13г.</t>
  </si>
  <si>
    <t>44150481-21г.</t>
  </si>
  <si>
    <t>Чайка-2</t>
  </si>
  <si>
    <t>14264865-13г.</t>
  </si>
  <si>
    <t>43092423-21г.</t>
  </si>
  <si>
    <t xml:space="preserve">ДМЗ </t>
  </si>
  <si>
    <t>0802580400027733</t>
  </si>
  <si>
    <t>(суммарн.)</t>
  </si>
  <si>
    <t>Потребление всех СНТ</t>
  </si>
  <si>
    <t>Потери</t>
  </si>
  <si>
    <t>% потерь</t>
  </si>
  <si>
    <t>Оплатить:</t>
  </si>
  <si>
    <t>Оплачено:</t>
  </si>
  <si>
    <t>Сальдо:</t>
  </si>
  <si>
    <t>Общее потребление Чайки и Чайки-2 (без потерь), кВт*ч</t>
  </si>
  <si>
    <t>Счет МЭС по дог.№90186204, кВт*ч</t>
  </si>
  <si>
    <t>Чайка-2:</t>
  </si>
  <si>
    <t>К оплате Чайка и Чайка-2 (без потерь), руб.</t>
  </si>
  <si>
    <t>Счет МЭС по дог.№90186204, руб.</t>
  </si>
  <si>
    <t>Чайка:</t>
  </si>
  <si>
    <t>Ответственный за электроснабжение</t>
  </si>
  <si>
    <t>Сумма:</t>
  </si>
  <si>
    <t xml:space="preserve">СНТ "Чайка-2" </t>
  </si>
  <si>
    <t>А.Н.Складнов</t>
  </si>
  <si>
    <t>январь</t>
  </si>
  <si>
    <t>февраль</t>
  </si>
  <si>
    <t>Тариф общий:</t>
  </si>
  <si>
    <t>Тариф сельский: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</si>
  <si>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</si>
  <si>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</si>
  <si>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</si>
  <si>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</si>
  <si>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</si>
  <si>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</si>
  <si>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</si>
  <si>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</si>
  <si>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</si>
  <si>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 xml:space="preserve">Электропотребление СНТ по месяцам </t>
  </si>
  <si>
    <t>года, кВт*ч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</si>
  <si>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</si>
  <si>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</si>
  <si>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</si>
  <si>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</si>
  <si>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</si>
  <si>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</si>
  <si>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</si>
  <si>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</si>
  <si>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</si>
  <si>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</si>
  <si>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</si>
  <si>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</si>
  <si>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ДМЗ (суммарн.)</t>
  </si>
  <si>
    <t>2020-22</t>
  </si>
  <si>
    <t>Переплата ранее, руб.</t>
  </si>
  <si>
    <t>Проверка, руб.</t>
  </si>
  <si>
    <t>Оплата потерь</t>
  </si>
  <si>
    <t>Остаток долга</t>
  </si>
  <si>
    <t xml:space="preserve">Суммы за потери в сетях по каждому СНТ по месяцам </t>
  </si>
  <si>
    <t>года, руб. и суммы за потери с 2020 года</t>
  </si>
  <si>
    <t>Остаток с прошлых периодов:</t>
  </si>
  <si>
    <t>46028140-22г.</t>
  </si>
  <si>
    <t xml:space="preserve">Мерк.-230АRT-03 </t>
  </si>
  <si>
    <t>Счетчик №46028140 Репки был неисправен, показание 102,06. Потребление взято по апрелю 2022. Неисправность устранена 26.05.2022. В июне будут оплачены полностью показания счетчика, включая 102,06.</t>
  </si>
  <si>
    <t>Итого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</si>
</sst>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dd/mm/yy;@"/>
    <numFmt numFmtId="166" formatCode="0.000%"/>
    <numFmt numFmtId="167" formatCode="#,##0.000"/>
    <numFmt numFmtId="168" formatCode="0.0%"/>
  </numFmts>
  <fonts count="23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2"/>
      <color indexed="12"/>
      <name val="Arial"/>
      <family val="2"/>
      <charset val="204"/>
    </font>
    <font>
      <sz val="12"/>
      <name val="Arial"/>
      <family val="2"/>
      <charset val="204"/>
    </font>
    <font>
      <sz val="12"/>
      <color rgb="FF00990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rgb="FF009900"/>
      <name val="Arial"/>
      <family val="2"/>
      <charset val="204"/>
    </font>
    <font>
      <b/>
      <sz val="9"/>
      <color rgb="FF0000FF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7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rgb="FF0000FF"/>
      <name val="Arial"/>
      <family val="2"/>
      <charset val="204"/>
    </font>
    <font>
      <b/>
      <sz val="9"/>
      <color rgb="FF0099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164" fontId="1" fillId="0" borderId="0" xfId="0" applyNumberFormat="1" applyFont="1"/>
    <xf numFmtId="3" fontId="1" fillId="0" borderId="0" xfId="0" applyNumberFormat="1" applyFont="1"/>
    <xf numFmtId="4" fontId="1" fillId="0" borderId="0" xfId="0" applyNumberFormat="1" applyFont="1"/>
    <xf numFmtId="1" fontId="2" fillId="0" borderId="0" xfId="0" applyNumberFormat="1" applyFont="1" applyAlignment="1">
      <alignment horizontal="left"/>
    </xf>
    <xf numFmtId="0" fontId="3" fillId="0" borderId="0" xfId="0" applyFont="1"/>
    <xf numFmtId="4" fontId="2" fillId="0" borderId="0" xfId="0" applyNumberFormat="1" applyFont="1" applyAlignment="1">
      <alignment horizontal="center"/>
    </xf>
    <xf numFmtId="4" fontId="4" fillId="0" borderId="0" xfId="0" applyNumberFormat="1" applyFont="1"/>
    <xf numFmtId="3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6" fillId="2" borderId="0" xfId="0" applyNumberFormat="1" applyFont="1" applyFill="1"/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3" fontId="6" fillId="2" borderId="0" xfId="0" applyNumberFormat="1" applyFont="1" applyFill="1" applyAlignment="1">
      <alignment horizontal="left"/>
    </xf>
    <xf numFmtId="4" fontId="5" fillId="0" borderId="0" xfId="0" applyNumberFormat="1" applyFont="1"/>
    <xf numFmtId="166" fontId="5" fillId="0" borderId="0" xfId="0" applyNumberFormat="1" applyFont="1"/>
    <xf numFmtId="4" fontId="5" fillId="0" borderId="0" xfId="0" applyNumberFormat="1" applyFont="1" applyAlignment="1">
      <alignment horizontal="right"/>
    </xf>
    <xf numFmtId="3" fontId="7" fillId="2" borderId="0" xfId="0" applyNumberFormat="1" applyFont="1" applyFill="1" applyAlignment="1">
      <alignment horizontal="left"/>
    </xf>
    <xf numFmtId="0" fontId="5" fillId="0" borderId="0" xfId="0" applyFont="1"/>
    <xf numFmtId="3" fontId="5" fillId="0" borderId="0" xfId="0" applyNumberFormat="1" applyFont="1" applyAlignment="1">
      <alignment horizontal="left"/>
    </xf>
    <xf numFmtId="4" fontId="8" fillId="0" borderId="0" xfId="0" applyNumberFormat="1" applyFont="1"/>
    <xf numFmtId="3" fontId="8" fillId="0" borderId="0" xfId="0" applyNumberFormat="1" applyFont="1" applyAlignment="1">
      <alignment horizontal="center"/>
    </xf>
    <xf numFmtId="164" fontId="5" fillId="0" borderId="0" xfId="0" applyNumberFormat="1" applyFont="1"/>
    <xf numFmtId="1" fontId="5" fillId="0" borderId="0" xfId="0" applyNumberFormat="1" applyFont="1"/>
    <xf numFmtId="3" fontId="5" fillId="0" borderId="0" xfId="0" applyNumberFormat="1" applyFont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/>
    </xf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166" fontId="5" fillId="0" borderId="11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/>
    </xf>
    <xf numFmtId="4" fontId="10" fillId="0" borderId="8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9" fillId="0" borderId="16" xfId="0" applyNumberFormat="1" applyFont="1" applyBorder="1" applyAlignment="1">
      <alignment horizontal="center"/>
    </xf>
    <xf numFmtId="166" fontId="5" fillId="0" borderId="16" xfId="0" applyNumberFormat="1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4" fontId="10" fillId="0" borderId="12" xfId="0" applyNumberFormat="1" applyFont="1" applyBorder="1" applyAlignment="1">
      <alignment horizontal="center"/>
    </xf>
    <xf numFmtId="0" fontId="5" fillId="0" borderId="17" xfId="0" applyFont="1" applyBorder="1"/>
    <xf numFmtId="0" fontId="11" fillId="0" borderId="18" xfId="0" applyFont="1" applyBorder="1"/>
    <xf numFmtId="49" fontId="11" fillId="0" borderId="18" xfId="0" applyNumberFormat="1" applyFont="1" applyBorder="1"/>
    <xf numFmtId="164" fontId="5" fillId="0" borderId="18" xfId="0" applyNumberFormat="1" applyFont="1" applyBorder="1"/>
    <xf numFmtId="164" fontId="5" fillId="2" borderId="18" xfId="0" applyNumberFormat="1" applyFont="1" applyFill="1" applyBorder="1"/>
    <xf numFmtId="164" fontId="5" fillId="0" borderId="1" xfId="0" applyNumberFormat="1" applyFont="1" applyBorder="1" applyAlignment="1">
      <alignment vertical="center"/>
    </xf>
    <xf numFmtId="1" fontId="5" fillId="0" borderId="19" xfId="0" applyNumberFormat="1" applyFont="1" applyBorder="1"/>
    <xf numFmtId="4" fontId="5" fillId="0" borderId="1" xfId="0" applyNumberFormat="1" applyFont="1" applyBorder="1"/>
    <xf numFmtId="4" fontId="5" fillId="2" borderId="1" xfId="0" applyNumberFormat="1" applyFont="1" applyFill="1" applyBorder="1"/>
    <xf numFmtId="4" fontId="7" fillId="2" borderId="17" xfId="0" applyNumberFormat="1" applyFont="1" applyFill="1" applyBorder="1"/>
    <xf numFmtId="4" fontId="9" fillId="0" borderId="18" xfId="0" applyNumberFormat="1" applyFont="1" applyBorder="1"/>
    <xf numFmtId="166" fontId="5" fillId="0" borderId="8" xfId="0" applyNumberFormat="1" applyFont="1" applyBorder="1"/>
    <xf numFmtId="4" fontId="5" fillId="0" borderId="8" xfId="0" applyNumberFormat="1" applyFont="1" applyBorder="1"/>
    <xf numFmtId="4" fontId="10" fillId="0" borderId="18" xfId="0" applyNumberFormat="1" applyFont="1" applyBorder="1"/>
    <xf numFmtId="4" fontId="10" fillId="0" borderId="1" xfId="0" applyNumberFormat="1" applyFont="1" applyBorder="1"/>
    <xf numFmtId="0" fontId="5" fillId="0" borderId="20" xfId="0" applyFont="1" applyBorder="1"/>
    <xf numFmtId="0" fontId="11" fillId="0" borderId="10" xfId="0" applyFont="1" applyBorder="1"/>
    <xf numFmtId="49" fontId="11" fillId="0" borderId="10" xfId="0" applyNumberFormat="1" applyFont="1" applyBorder="1"/>
    <xf numFmtId="164" fontId="5" fillId="0" borderId="10" xfId="0" applyNumberFormat="1" applyFont="1" applyBorder="1"/>
    <xf numFmtId="164" fontId="5" fillId="2" borderId="10" xfId="0" applyNumberFormat="1" applyFont="1" applyFill="1" applyBorder="1"/>
    <xf numFmtId="164" fontId="5" fillId="0" borderId="12" xfId="0" applyNumberFormat="1" applyFont="1" applyBorder="1"/>
    <xf numFmtId="1" fontId="5" fillId="0" borderId="9" xfId="0" applyNumberFormat="1" applyFont="1" applyBorder="1"/>
    <xf numFmtId="4" fontId="5" fillId="0" borderId="12" xfId="0" applyNumberFormat="1" applyFont="1" applyBorder="1"/>
    <xf numFmtId="4" fontId="5" fillId="2" borderId="12" xfId="0" applyNumberFormat="1" applyFont="1" applyFill="1" applyBorder="1"/>
    <xf numFmtId="4" fontId="7" fillId="2" borderId="20" xfId="0" applyNumberFormat="1" applyFont="1" applyFill="1" applyBorder="1"/>
    <xf numFmtId="4" fontId="9" fillId="0" borderId="10" xfId="0" applyNumberFormat="1" applyFont="1" applyBorder="1"/>
    <xf numFmtId="166" fontId="5" fillId="0" borderId="12" xfId="0" applyNumberFormat="1" applyFont="1" applyBorder="1"/>
    <xf numFmtId="4" fontId="5" fillId="0" borderId="20" xfId="0" applyNumberFormat="1" applyFont="1" applyBorder="1"/>
    <xf numFmtId="4" fontId="10" fillId="0" borderId="10" xfId="0" applyNumberFormat="1" applyFont="1" applyBorder="1"/>
    <xf numFmtId="4" fontId="10" fillId="0" borderId="21" xfId="0" applyNumberFormat="1" applyFont="1" applyBorder="1"/>
    <xf numFmtId="4" fontId="10" fillId="0" borderId="8" xfId="0" applyNumberFormat="1" applyFont="1" applyBorder="1"/>
    <xf numFmtId="0" fontId="11" fillId="0" borderId="20" xfId="0" applyFont="1" applyBorder="1"/>
    <xf numFmtId="164" fontId="5" fillId="0" borderId="12" xfId="0" applyNumberFormat="1" applyFont="1" applyBorder="1" applyAlignment="1">
      <alignment vertical="center"/>
    </xf>
    <xf numFmtId="0" fontId="5" fillId="0" borderId="22" xfId="0" applyFont="1" applyBorder="1"/>
    <xf numFmtId="164" fontId="5" fillId="2" borderId="5" xfId="0" applyNumberFormat="1" applyFont="1" applyFill="1" applyBorder="1"/>
    <xf numFmtId="4" fontId="12" fillId="2" borderId="1" xfId="0" applyNumberFormat="1" applyFont="1" applyFill="1" applyBorder="1"/>
    <xf numFmtId="4" fontId="7" fillId="2" borderId="1" xfId="0" applyNumberFormat="1" applyFont="1" applyFill="1" applyBorder="1"/>
    <xf numFmtId="4" fontId="10" fillId="0" borderId="12" xfId="0" applyNumberFormat="1" applyFont="1" applyBorder="1"/>
    <xf numFmtId="167" fontId="5" fillId="0" borderId="18" xfId="0" applyNumberFormat="1" applyFont="1" applyBorder="1"/>
    <xf numFmtId="167" fontId="5" fillId="2" borderId="22" xfId="0" applyNumberFormat="1" applyFont="1" applyFill="1" applyBorder="1"/>
    <xf numFmtId="167" fontId="5" fillId="0" borderId="1" xfId="0" applyNumberFormat="1" applyFont="1" applyBorder="1" applyAlignment="1">
      <alignment vertical="center"/>
    </xf>
    <xf numFmtId="1" fontId="5" fillId="0" borderId="17" xfId="0" applyNumberFormat="1" applyFont="1" applyBorder="1"/>
    <xf numFmtId="4" fontId="7" fillId="0" borderId="18" xfId="0" applyNumberFormat="1" applyFont="1" applyBorder="1"/>
    <xf numFmtId="4" fontId="7" fillId="0" borderId="1" xfId="0" applyNumberFormat="1" applyFont="1" applyBorder="1"/>
    <xf numFmtId="167" fontId="5" fillId="0" borderId="10" xfId="0" applyNumberFormat="1" applyFont="1" applyBorder="1"/>
    <xf numFmtId="167" fontId="5" fillId="2" borderId="20" xfId="0" applyNumberFormat="1" applyFont="1" applyFill="1" applyBorder="1"/>
    <xf numFmtId="167" fontId="5" fillId="0" borderId="20" xfId="0" applyNumberFormat="1" applyFont="1" applyBorder="1"/>
    <xf numFmtId="1" fontId="5" fillId="0" borderId="20" xfId="0" applyNumberFormat="1" applyFont="1" applyBorder="1"/>
    <xf numFmtId="4" fontId="5" fillId="0" borderId="10" xfId="0" applyNumberFormat="1" applyFont="1" applyBorder="1"/>
    <xf numFmtId="4" fontId="7" fillId="0" borderId="10" xfId="0" applyNumberFormat="1" applyFont="1" applyBorder="1"/>
    <xf numFmtId="4" fontId="7" fillId="0" borderId="12" xfId="0" applyNumberFormat="1" applyFont="1" applyBorder="1"/>
    <xf numFmtId="164" fontId="13" fillId="0" borderId="0" xfId="0" applyNumberFormat="1" applyFont="1" applyAlignment="1">
      <alignment horizontal="right"/>
    </xf>
    <xf numFmtId="4" fontId="9" fillId="0" borderId="0" xfId="0" applyNumberFormat="1" applyFont="1"/>
    <xf numFmtId="3" fontId="9" fillId="0" borderId="0" xfId="0" applyNumberFormat="1" applyFont="1" applyAlignment="1">
      <alignment horizontal="left"/>
    </xf>
    <xf numFmtId="0" fontId="13" fillId="0" borderId="0" xfId="0" applyFont="1"/>
    <xf numFmtId="1" fontId="5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left"/>
    </xf>
    <xf numFmtId="168" fontId="13" fillId="0" borderId="0" xfId="0" applyNumberFormat="1" applyFont="1"/>
    <xf numFmtId="4" fontId="7" fillId="0" borderId="0" xfId="0" applyNumberFormat="1" applyFont="1"/>
    <xf numFmtId="4" fontId="14" fillId="0" borderId="0" xfId="0" applyNumberFormat="1" applyFont="1"/>
    <xf numFmtId="4" fontId="10" fillId="0" borderId="23" xfId="0" applyNumberFormat="1" applyFont="1" applyBorder="1"/>
    <xf numFmtId="0" fontId="10" fillId="0" borderId="23" xfId="0" applyFont="1" applyBorder="1"/>
    <xf numFmtId="0" fontId="7" fillId="0" borderId="0" xfId="0" applyFont="1"/>
    <xf numFmtId="164" fontId="7" fillId="0" borderId="0" xfId="0" applyNumberFormat="1" applyFont="1"/>
    <xf numFmtId="1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4" fontId="7" fillId="2" borderId="0" xfId="0" applyNumberFormat="1" applyFont="1" applyFill="1"/>
    <xf numFmtId="0" fontId="7" fillId="2" borderId="1" xfId="0" applyFont="1" applyFill="1" applyBorder="1"/>
    <xf numFmtId="0" fontId="7" fillId="0" borderId="1" xfId="0" applyFont="1" applyBorder="1"/>
    <xf numFmtId="1" fontId="7" fillId="0" borderId="0" xfId="0" applyNumberFormat="1" applyFont="1" applyAlignment="1">
      <alignment horizontal="left" indent="6"/>
    </xf>
    <xf numFmtId="166" fontId="7" fillId="0" borderId="0" xfId="0" applyNumberFormat="1" applyFont="1"/>
    <xf numFmtId="4" fontId="10" fillId="2" borderId="12" xfId="0" applyNumberFormat="1" applyFont="1" applyFill="1" applyBorder="1"/>
    <xf numFmtId="1" fontId="5" fillId="0" borderId="0" xfId="0" applyNumberFormat="1" applyFont="1" applyAlignment="1">
      <alignment horizontal="left" indent="6"/>
    </xf>
    <xf numFmtId="3" fontId="13" fillId="0" borderId="1" xfId="0" applyNumberFormat="1" applyFont="1" applyBorder="1" applyAlignment="1">
      <alignment horizontal="left"/>
    </xf>
    <xf numFmtId="4" fontId="7" fillId="2" borderId="12" xfId="0" applyNumberFormat="1" applyFont="1" applyFill="1" applyBorder="1"/>
    <xf numFmtId="0" fontId="8" fillId="2" borderId="1" xfId="0" applyFont="1" applyFill="1" applyBorder="1"/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 indent="7"/>
    </xf>
    <xf numFmtId="0" fontId="15" fillId="0" borderId="0" xfId="0" applyFont="1"/>
    <xf numFmtId="0" fontId="16" fillId="0" borderId="0" xfId="0" applyFont="1" applyAlignment="1">
      <alignment horizontal="left"/>
    </xf>
    <xf numFmtId="0" fontId="17" fillId="0" borderId="0" xfId="0" applyFont="1"/>
    <xf numFmtId="3" fontId="17" fillId="0" borderId="0" xfId="0" applyNumberFormat="1" applyFont="1"/>
    <xf numFmtId="1" fontId="17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3" fontId="18" fillId="0" borderId="23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7" xfId="0" applyFont="1" applyBorder="1"/>
    <xf numFmtId="3" fontId="19" fillId="0" borderId="1" xfId="0" applyNumberFormat="1" applyFont="1" applyBorder="1"/>
    <xf numFmtId="0" fontId="18" fillId="0" borderId="0" xfId="0" applyFont="1"/>
    <xf numFmtId="0" fontId="3" fillId="0" borderId="16" xfId="0" applyFont="1" applyBorder="1"/>
    <xf numFmtId="3" fontId="19" fillId="0" borderId="12" xfId="0" applyNumberFormat="1" applyFont="1" applyBorder="1"/>
    <xf numFmtId="3" fontId="18" fillId="0" borderId="0" xfId="0" applyNumberFormat="1" applyFont="1"/>
    <xf numFmtId="4" fontId="12" fillId="0" borderId="0" xfId="0" applyNumberFormat="1" applyFont="1"/>
    <xf numFmtId="167" fontId="5" fillId="2" borderId="22" xfId="0" applyNumberFormat="1" applyFont="1" applyFill="1" applyBorder="1"/>
    <xf numFmtId="4" fontId="5" fillId="2" borderId="1" xfId="0" applyNumberFormat="1" applyFont="1" applyFill="1" applyBorder="1"/>
    <xf numFmtId="4" fontId="5" fillId="2" borderId="12" xfId="0" applyNumberFormat="1" applyFont="1" applyFill="1" applyBorder="1"/>
    <xf numFmtId="4" fontId="12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10" fillId="0" borderId="0" xfId="0" applyNumberFormat="1" applyFont="1"/>
    <xf numFmtId="3" fontId="7" fillId="0" borderId="0" xfId="0" applyNumberFormat="1" applyFont="1"/>
    <xf numFmtId="3" fontId="7" fillId="2" borderId="0" xfId="0" applyNumberFormat="1" applyFont="1" applyFill="1"/>
    <xf numFmtId="0" fontId="15" fillId="0" borderId="0" xfId="0" applyFont="1" applyAlignment="1">
      <alignment vertical="top"/>
    </xf>
    <xf numFmtId="3" fontId="15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3" fontId="15" fillId="0" borderId="1" xfId="0" applyNumberFormat="1" applyFont="1" applyBorder="1" applyAlignment="1">
      <alignment horizontal="center" vertical="top"/>
    </xf>
    <xf numFmtId="3" fontId="15" fillId="0" borderId="23" xfId="0" applyNumberFormat="1" applyFont="1" applyBorder="1" applyAlignment="1">
      <alignment horizontal="center" vertical="top"/>
    </xf>
    <xf numFmtId="0" fontId="16" fillId="0" borderId="23" xfId="0" applyFont="1" applyBorder="1" applyAlignment="1">
      <alignment horizontal="center" vertical="top"/>
    </xf>
    <xf numFmtId="0" fontId="10" fillId="0" borderId="23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5" fillId="0" borderId="7" xfId="0" applyFont="1" applyBorder="1" applyAlignment="1">
      <alignment vertical="top"/>
    </xf>
    <xf numFmtId="4" fontId="15" fillId="0" borderId="1" xfId="0" applyNumberFormat="1" applyFont="1" applyBorder="1" applyAlignment="1">
      <alignment vertical="top"/>
    </xf>
    <xf numFmtId="4" fontId="12" fillId="0" borderId="1" xfId="0" applyNumberFormat="1" applyFont="1" applyBorder="1" applyAlignment="1">
      <alignment vertical="top"/>
    </xf>
    <xf numFmtId="0" fontId="5" fillId="0" borderId="16" xfId="0" applyFont="1" applyBorder="1" applyAlignment="1">
      <alignment vertical="top"/>
    </xf>
    <xf numFmtId="4" fontId="15" fillId="0" borderId="12" xfId="0" applyNumberFormat="1" applyFont="1" applyBorder="1" applyAlignment="1">
      <alignment vertical="top"/>
    </xf>
    <xf numFmtId="4" fontId="12" fillId="0" borderId="12" xfId="0" applyNumberFormat="1" applyFont="1" applyBorder="1" applyAlignment="1">
      <alignment vertical="top"/>
    </xf>
    <xf numFmtId="4" fontId="16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0" fontId="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 wrapText="1"/>
    </xf>
    <xf numFmtId="3" fontId="15" fillId="0" borderId="23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165" fontId="20" fillId="0" borderId="12" xfId="0" applyNumberFormat="1" applyFont="1" applyBorder="1" applyAlignment="1">
      <alignment vertical="top"/>
    </xf>
    <xf numFmtId="0" fontId="21" fillId="0" borderId="0" xfId="0" applyFont="1" applyAlignment="1">
      <alignment vertical="top"/>
    </xf>
    <xf numFmtId="3" fontId="21" fillId="0" borderId="0" xfId="0" applyNumberFormat="1" applyFont="1" applyAlignment="1">
      <alignment vertical="top"/>
    </xf>
    <xf numFmtId="1" fontId="21" fillId="0" borderId="0" xfId="0" applyNumberFormat="1" applyFont="1" applyAlignment="1">
      <alignment horizontal="center" vertical="top"/>
    </xf>
    <xf numFmtId="0" fontId="22" fillId="0" borderId="0" xfId="0" applyFont="1" applyAlignment="1">
      <alignment vertical="top"/>
    </xf>
    <xf numFmtId="3" fontId="19" fillId="0" borderId="0" xfId="0" applyNumberFormat="1" applyFont="1" applyAlignment="1">
      <alignment vertical="top"/>
    </xf>
    <xf numFmtId="0" fontId="19" fillId="0" borderId="0" xfId="0" applyFont="1" applyAlignment="1">
      <alignment vertical="top"/>
    </xf>
    <xf numFmtId="0" fontId="10" fillId="0" borderId="23" xfId="0" applyFont="1" applyBorder="1" applyAlignment="1">
      <alignment horizontal="center" vertical="top" wrapText="1"/>
    </xf>
    <xf numFmtId="4" fontId="12" fillId="0" borderId="12" xfId="0" applyNumberFormat="1" applyFont="1" applyBorder="1"/>
    <xf numFmtId="0" fontId="12" fillId="0" borderId="0" xfId="0" applyFont="1"/>
    <xf numFmtId="0" fontId="17" fillId="0" borderId="0" xfId="0" applyFont="1" applyAlignment="1">
      <alignment horizontal="center"/>
    </xf>
    <xf numFmtId="3" fontId="19" fillId="0" borderId="1" xfId="0" applyNumberFormat="1" applyFont="1" applyBorder="1" applyAlignment="1">
      <alignment horizontal="center"/>
    </xf>
    <xf numFmtId="3" fontId="19" fillId="0" borderId="1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5" fillId="0" borderId="26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U28"/>
  <sheetViews>
    <sheetView topLeftCell="D1" workbookViewId="0">
      <selection activeCell="I13" sqref="I13"/>
    </sheetView>
  </sheetViews>
  <sheetFormatPr defaultRowHeight="14.4" x14ac:dyDescent="0.3"/>
  <cols>
    <col min="1" max="1" width="9.109375" customWidth="1"/>
    <col min="2" max="2" width="11.44140625" bestFit="1" customWidth="1"/>
    <col min="3" max="3" width="13.33203125" bestFit="1" customWidth="1"/>
    <col min="4" max="5" width="9.109375" customWidth="1"/>
    <col min="6" max="6" width="7.21875" bestFit="1" customWidth="1"/>
    <col min="7" max="7" width="6.5546875" customWidth="1"/>
    <col min="8" max="8" width="9.21875" bestFit="1" customWidth="1"/>
    <col min="9" max="9" width="7.88671875" bestFit="1" customWidth="1"/>
    <col min="10" max="11" width="5.33203125" bestFit="1" customWidth="1"/>
    <col min="12" max="12" width="11.21875" customWidth="1"/>
    <col min="13" max="13" width="11.6640625" bestFit="1" customWidth="1"/>
    <col min="14" max="14" width="6.44140625" bestFit="1" customWidth="1"/>
    <col min="15" max="15" width="7.88671875" customWidth="1"/>
    <col min="16" max="16" width="9.21875" bestFit="1" customWidth="1"/>
    <col min="17" max="17" width="8.77734375" bestFit="1" customWidth="1"/>
    <col min="18" max="19" width="10.5546875" bestFit="1" customWidth="1"/>
    <col min="20" max="20" width="10.109375" bestFit="1" customWidth="1"/>
    <col min="21" max="21" width="12.109375" bestFit="1" customWidth="1"/>
  </cols>
  <sheetData>
    <row r="1" spans="1:21" ht="15.6" x14ac:dyDescent="0.3">
      <c r="A1" s="1" t="s">
        <v>0</v>
      </c>
      <c r="B1" s="1"/>
      <c r="C1" s="1"/>
      <c r="D1" s="2"/>
      <c r="E1" s="2"/>
      <c r="F1" s="2"/>
      <c r="G1" s="1"/>
      <c r="H1" s="3"/>
      <c r="I1" s="3"/>
      <c r="J1" s="4"/>
      <c r="K1" s="4"/>
      <c r="L1" s="5"/>
      <c r="M1" s="5"/>
      <c r="N1" s="6"/>
      <c r="O1" s="7"/>
      <c r="P1" s="7"/>
      <c r="Q1" s="4"/>
      <c r="R1" s="4"/>
      <c r="S1" s="4"/>
      <c r="T1" s="8"/>
      <c r="U1" s="9"/>
    </row>
    <row r="2" spans="1:21" x14ac:dyDescent="0.3">
      <c r="A2" s="10" t="s">
        <v>1</v>
      </c>
      <c r="B2" s="11" t="s">
        <v>2</v>
      </c>
      <c r="C2" s="12" t="s">
        <v>3</v>
      </c>
      <c r="D2" s="13">
        <v>2021</v>
      </c>
      <c r="E2" s="14" t="s">
        <v>4</v>
      </c>
      <c r="F2" s="15">
        <v>20</v>
      </c>
      <c r="G2" s="16"/>
      <c r="H2" s="16"/>
      <c r="I2" s="16"/>
      <c r="J2" s="16"/>
      <c r="K2" s="16"/>
      <c r="L2" s="17"/>
      <c r="M2" s="16"/>
      <c r="N2" s="16"/>
      <c r="O2" s="18" t="s">
        <v>5</v>
      </c>
      <c r="P2" s="19">
        <v>26</v>
      </c>
      <c r="Q2" s="20"/>
      <c r="R2" s="20"/>
      <c r="S2" s="21"/>
      <c r="T2" s="22"/>
      <c r="U2" s="23"/>
    </row>
    <row r="3" spans="1:21" x14ac:dyDescent="0.3">
      <c r="A3" s="20"/>
      <c r="B3" s="20"/>
      <c r="C3" s="20"/>
      <c r="D3" s="24"/>
      <c r="E3" s="24"/>
      <c r="F3" s="24"/>
      <c r="G3" s="25"/>
      <c r="H3" s="26"/>
      <c r="I3" s="26"/>
      <c r="J3" s="16"/>
      <c r="K3" s="16"/>
      <c r="L3" s="16"/>
      <c r="M3" s="16"/>
      <c r="N3" s="17"/>
      <c r="O3" s="16"/>
      <c r="P3" s="16"/>
      <c r="Q3" s="16"/>
      <c r="R3" s="16"/>
      <c r="S3" s="16"/>
      <c r="T3" s="22"/>
      <c r="U3" s="23"/>
    </row>
    <row r="4" spans="1:21" x14ac:dyDescent="0.3">
      <c r="A4" s="27" t="s">
        <v>6</v>
      </c>
      <c r="B4" s="199" t="s">
        <v>7</v>
      </c>
      <c r="C4" s="200"/>
      <c r="D4" s="201" t="s">
        <v>8</v>
      </c>
      <c r="E4" s="202"/>
      <c r="F4" s="28" t="s">
        <v>9</v>
      </c>
      <c r="G4" s="29" t="s">
        <v>10</v>
      </c>
      <c r="H4" s="30" t="s">
        <v>11</v>
      </c>
      <c r="I4" s="30" t="s">
        <v>12</v>
      </c>
      <c r="J4" s="31" t="s">
        <v>13</v>
      </c>
      <c r="K4" s="32" t="s">
        <v>14</v>
      </c>
      <c r="L4" s="33" t="s">
        <v>15</v>
      </c>
      <c r="M4" s="33" t="s">
        <v>16</v>
      </c>
      <c r="N4" s="34" t="s">
        <v>17</v>
      </c>
      <c r="O4" s="35" t="s">
        <v>18</v>
      </c>
      <c r="P4" s="35" t="s">
        <v>19</v>
      </c>
      <c r="Q4" s="35" t="s">
        <v>15</v>
      </c>
      <c r="R4" s="36" t="s">
        <v>20</v>
      </c>
      <c r="S4" s="37" t="s">
        <v>21</v>
      </c>
      <c r="T4" s="38" t="s">
        <v>22</v>
      </c>
      <c r="U4" s="23" t="s">
        <v>23</v>
      </c>
    </row>
    <row r="5" spans="1:21" x14ac:dyDescent="0.3">
      <c r="A5" s="39"/>
      <c r="B5" s="27" t="s">
        <v>24</v>
      </c>
      <c r="C5" s="27" t="s">
        <v>25</v>
      </c>
      <c r="D5" s="203" t="s">
        <v>26</v>
      </c>
      <c r="E5" s="204"/>
      <c r="F5" s="40"/>
      <c r="G5" s="41" t="s">
        <v>27</v>
      </c>
      <c r="H5" s="39" t="s">
        <v>28</v>
      </c>
      <c r="I5" s="39" t="s">
        <v>29</v>
      </c>
      <c r="J5" s="42" t="s">
        <v>30</v>
      </c>
      <c r="K5" s="43" t="s">
        <v>31</v>
      </c>
      <c r="L5" s="44" t="s">
        <v>32</v>
      </c>
      <c r="M5" s="44" t="s">
        <v>33</v>
      </c>
      <c r="N5" s="45" t="s">
        <v>34</v>
      </c>
      <c r="O5" s="46" t="s">
        <v>35</v>
      </c>
      <c r="P5" s="46" t="s">
        <v>36</v>
      </c>
      <c r="Q5" s="46" t="s">
        <v>37</v>
      </c>
      <c r="R5" s="47" t="s">
        <v>38</v>
      </c>
      <c r="S5" s="48" t="s">
        <v>39</v>
      </c>
      <c r="T5" s="38" t="s">
        <v>40</v>
      </c>
      <c r="U5" s="23" t="s">
        <v>41</v>
      </c>
    </row>
    <row r="6" spans="1:21" x14ac:dyDescent="0.3">
      <c r="A6" s="49"/>
      <c r="B6" s="49" t="s">
        <v>42</v>
      </c>
      <c r="C6" s="49" t="s">
        <v>42</v>
      </c>
      <c r="D6" s="50" t="s">
        <v>43</v>
      </c>
      <c r="E6" s="51" t="s">
        <v>44</v>
      </c>
      <c r="F6" s="52"/>
      <c r="G6" s="53" t="s">
        <v>45</v>
      </c>
      <c r="H6" s="54" t="s">
        <v>46</v>
      </c>
      <c r="I6" s="54" t="s">
        <v>47</v>
      </c>
      <c r="J6" s="55" t="s">
        <v>46</v>
      </c>
      <c r="K6" s="56"/>
      <c r="L6" s="57" t="s">
        <v>48</v>
      </c>
      <c r="M6" s="57" t="s">
        <v>48</v>
      </c>
      <c r="N6" s="58"/>
      <c r="O6" s="59" t="s">
        <v>46</v>
      </c>
      <c r="P6" s="59" t="s">
        <v>46</v>
      </c>
      <c r="Q6" s="59" t="s">
        <v>48</v>
      </c>
      <c r="R6" s="60" t="s">
        <v>49</v>
      </c>
      <c r="S6" s="60" t="s">
        <v>49</v>
      </c>
      <c r="T6" s="38" t="s">
        <v>34</v>
      </c>
      <c r="U6" s="23" t="s">
        <v>50</v>
      </c>
    </row>
    <row r="7" spans="1:21" x14ac:dyDescent="0.3">
      <c r="A7" s="61" t="s">
        <v>51</v>
      </c>
      <c r="B7" s="62" t="s">
        <v>52</v>
      </c>
      <c r="C7" s="63" t="s">
        <v>53</v>
      </c>
      <c r="D7" s="64">
        <v>69766.501999999993</v>
      </c>
      <c r="E7" s="65">
        <v>70866.7</v>
      </c>
      <c r="F7" s="66">
        <f>IF(E7&gt;0,E7-D7,0)</f>
        <v>1100.198000000004</v>
      </c>
      <c r="G7" s="67">
        <v>60</v>
      </c>
      <c r="H7" s="68">
        <f>F7*G7</f>
        <v>66011.880000000237</v>
      </c>
      <c r="I7" s="69"/>
      <c r="J7" s="70">
        <v>5.93</v>
      </c>
      <c r="K7" s="69"/>
      <c r="L7" s="71">
        <f>J7*H7</f>
        <v>391450.44840000139</v>
      </c>
      <c r="M7" s="71">
        <f>L7+L8</f>
        <v>391450.44840000139</v>
      </c>
      <c r="N7" s="72">
        <v>8.4239417043940584E-2</v>
      </c>
      <c r="O7" s="73">
        <f>H7*N7</f>
        <v>5560.8022891745804</v>
      </c>
      <c r="P7" s="68">
        <f>IF($O$19&gt;0,O7*$H$19/$O$19,0)</f>
        <v>141.7555235915346</v>
      </c>
      <c r="Q7" s="16">
        <f>J7*P7</f>
        <v>840.61025489780013</v>
      </c>
      <c r="R7" s="74">
        <f>IF(P7&gt;0,L7+Q7,L7)</f>
        <v>392291.05865489919</v>
      </c>
      <c r="S7" s="75">
        <f t="shared" ref="S7" si="0">R7+R8</f>
        <v>392291.05865489919</v>
      </c>
      <c r="T7" s="22">
        <f>L7+Q7</f>
        <v>392291.05865489919</v>
      </c>
      <c r="U7" s="23">
        <f t="shared" ref="U7:U14" si="1">IF($P$2&gt;0,H7/$P$2,0)</f>
        <v>2538.9184615384706</v>
      </c>
    </row>
    <row r="8" spans="1:21" x14ac:dyDescent="0.3">
      <c r="A8" s="76"/>
      <c r="B8" s="77"/>
      <c r="C8" s="78"/>
      <c r="D8" s="79">
        <v>0</v>
      </c>
      <c r="E8" s="80"/>
      <c r="F8" s="81"/>
      <c r="G8" s="82"/>
      <c r="H8" s="83"/>
      <c r="I8" s="84"/>
      <c r="J8" s="85"/>
      <c r="K8" s="84"/>
      <c r="L8" s="86"/>
      <c r="M8" s="86"/>
      <c r="N8" s="87"/>
      <c r="O8" s="83"/>
      <c r="P8" s="83"/>
      <c r="Q8" s="88"/>
      <c r="R8" s="89"/>
      <c r="S8" s="90"/>
      <c r="T8" s="22"/>
      <c r="U8" s="23">
        <f t="shared" si="1"/>
        <v>0</v>
      </c>
    </row>
    <row r="9" spans="1:21" x14ac:dyDescent="0.3">
      <c r="A9" s="61" t="s">
        <v>54</v>
      </c>
      <c r="B9" s="62" t="s">
        <v>55</v>
      </c>
      <c r="C9" s="63" t="s">
        <v>56</v>
      </c>
      <c r="D9" s="64">
        <v>12631.3</v>
      </c>
      <c r="E9" s="65">
        <v>13256.4</v>
      </c>
      <c r="F9" s="66">
        <f t="shared" ref="F9:F15" si="2">IF(E9&gt;0,E9-D9,0)</f>
        <v>625.10000000000036</v>
      </c>
      <c r="G9" s="67">
        <v>50</v>
      </c>
      <c r="H9" s="68">
        <f>F9*G9+F10*G10</f>
        <v>31255.000000000018</v>
      </c>
      <c r="I9" s="69"/>
      <c r="J9" s="70">
        <v>5.93</v>
      </c>
      <c r="K9" s="69"/>
      <c r="L9" s="71">
        <f>J9*H9</f>
        <v>185342.15000000011</v>
      </c>
      <c r="M9" s="71">
        <f t="shared" ref="M9" si="3">L9+L10</f>
        <v>185342.15000000011</v>
      </c>
      <c r="N9" s="72">
        <v>8.4239417043940584E-2</v>
      </c>
      <c r="O9" s="73">
        <f>H9*N9</f>
        <v>2632.9029797083645</v>
      </c>
      <c r="P9" s="68">
        <f t="shared" ref="P9" si="4">IF($O$19&gt;0,O9*$H$19/$O$19,0)</f>
        <v>67.117750469360985</v>
      </c>
      <c r="Q9" s="16">
        <f>J9*P9</f>
        <v>398.00826028331062</v>
      </c>
      <c r="R9" s="74">
        <f t="shared" ref="R9" si="5">IF(P9&gt;0,L9+Q9,L9)</f>
        <v>185740.15826028341</v>
      </c>
      <c r="S9" s="91">
        <f t="shared" ref="S9" si="6">R9+R10</f>
        <v>185740.15826028341</v>
      </c>
      <c r="T9" s="22">
        <f t="shared" ref="T9" si="7">L9+Q9</f>
        <v>185740.15826028341</v>
      </c>
      <c r="U9" s="23">
        <f t="shared" si="1"/>
        <v>1202.1153846153852</v>
      </c>
    </row>
    <row r="10" spans="1:21" x14ac:dyDescent="0.3">
      <c r="A10" s="92" t="s">
        <v>57</v>
      </c>
      <c r="B10" s="77"/>
      <c r="C10" s="78"/>
      <c r="D10" s="79">
        <v>0</v>
      </c>
      <c r="E10" s="80"/>
      <c r="F10" s="93"/>
      <c r="G10" s="82"/>
      <c r="H10" s="83"/>
      <c r="I10" s="84"/>
      <c r="J10" s="85"/>
      <c r="K10" s="84"/>
      <c r="L10" s="86"/>
      <c r="M10" s="86"/>
      <c r="N10" s="87"/>
      <c r="O10" s="83"/>
      <c r="P10" s="83"/>
      <c r="Q10" s="88"/>
      <c r="R10" s="89"/>
      <c r="S10" s="90"/>
      <c r="T10" s="22"/>
      <c r="U10" s="23">
        <f t="shared" si="1"/>
        <v>0</v>
      </c>
    </row>
    <row r="11" spans="1:21" x14ac:dyDescent="0.3">
      <c r="A11" s="94" t="s">
        <v>58</v>
      </c>
      <c r="B11" s="62" t="s">
        <v>55</v>
      </c>
      <c r="C11" s="63" t="s">
        <v>59</v>
      </c>
      <c r="D11" s="64">
        <v>79354.2</v>
      </c>
      <c r="E11" s="95">
        <v>80553.100000000006</v>
      </c>
      <c r="F11" s="66">
        <f t="shared" si="2"/>
        <v>1198.9000000000087</v>
      </c>
      <c r="G11" s="67">
        <v>60</v>
      </c>
      <c r="H11" s="68">
        <f t="shared" ref="H11:H15" si="8">F11*G11</f>
        <v>71934.000000000524</v>
      </c>
      <c r="I11" s="69"/>
      <c r="J11" s="70">
        <v>5.93</v>
      </c>
      <c r="K11" s="69"/>
      <c r="L11" s="71">
        <f>J11*H11</f>
        <v>426568.62000000308</v>
      </c>
      <c r="M11" s="71">
        <f t="shared" ref="M11" si="9">L11+L12</f>
        <v>426568.62000000308</v>
      </c>
      <c r="N11" s="72">
        <v>9.3867222073683532E-2</v>
      </c>
      <c r="O11" s="73">
        <f>H11*N11</f>
        <v>6752.2447526484002</v>
      </c>
      <c r="P11" s="68">
        <f t="shared" ref="P11:P14" si="10">IF($O$19&gt;0,O11*$H$19/$O$19,0)</f>
        <v>172.1276788051286</v>
      </c>
      <c r="Q11" s="16">
        <f>J11*P11</f>
        <v>1020.7171353144125</v>
      </c>
      <c r="R11" s="74">
        <f t="shared" ref="R11:R14" si="11">IF(P11&gt;0,L11+Q11,L11)</f>
        <v>427589.3371353175</v>
      </c>
      <c r="S11" s="91">
        <f t="shared" ref="S11" si="12">R11+R12</f>
        <v>427589.3371353175</v>
      </c>
      <c r="T11" s="22">
        <f t="shared" ref="T11:T14" si="13">L11+Q11</f>
        <v>427589.3371353175</v>
      </c>
      <c r="U11" s="23">
        <f t="shared" si="1"/>
        <v>2766.6923076923276</v>
      </c>
    </row>
    <row r="12" spans="1:21" x14ac:dyDescent="0.3">
      <c r="A12" s="76"/>
      <c r="B12" s="77" t="s">
        <v>55</v>
      </c>
      <c r="C12" s="78" t="s">
        <v>60</v>
      </c>
      <c r="D12" s="79">
        <v>3</v>
      </c>
      <c r="E12" s="80">
        <v>3</v>
      </c>
      <c r="F12" s="81">
        <f t="shared" si="2"/>
        <v>0</v>
      </c>
      <c r="G12" s="82">
        <f>400/5</f>
        <v>80</v>
      </c>
      <c r="H12" s="83">
        <f t="shared" si="8"/>
        <v>0</v>
      </c>
      <c r="I12" s="84"/>
      <c r="J12" s="85">
        <v>5.93</v>
      </c>
      <c r="K12" s="84"/>
      <c r="L12" s="86">
        <f>J12*H12</f>
        <v>0</v>
      </c>
      <c r="M12" s="86"/>
      <c r="N12" s="87">
        <v>9.3867222073683532E-2</v>
      </c>
      <c r="O12" s="83">
        <f>H12*N12</f>
        <v>0</v>
      </c>
      <c r="P12" s="83">
        <f t="shared" si="10"/>
        <v>0</v>
      </c>
      <c r="Q12" s="88">
        <f>J12*P12</f>
        <v>0</v>
      </c>
      <c r="R12" s="89">
        <f t="shared" si="11"/>
        <v>0</v>
      </c>
      <c r="S12" s="90"/>
      <c r="T12" s="22">
        <f t="shared" si="13"/>
        <v>0</v>
      </c>
      <c r="U12" s="23">
        <f t="shared" si="1"/>
        <v>0</v>
      </c>
    </row>
    <row r="13" spans="1:21" x14ac:dyDescent="0.3">
      <c r="A13" s="94" t="s">
        <v>61</v>
      </c>
      <c r="B13" s="62" t="s">
        <v>55</v>
      </c>
      <c r="C13" s="63" t="s">
        <v>62</v>
      </c>
      <c r="D13" s="64">
        <v>7770.7</v>
      </c>
      <c r="E13" s="95">
        <v>7770.7</v>
      </c>
      <c r="F13" s="66">
        <f t="shared" si="2"/>
        <v>0</v>
      </c>
      <c r="G13" s="67">
        <v>40</v>
      </c>
      <c r="H13" s="68">
        <f t="shared" si="8"/>
        <v>0</v>
      </c>
      <c r="I13" s="96">
        <v>2957</v>
      </c>
      <c r="J13" s="70">
        <v>5.93</v>
      </c>
      <c r="K13" s="97">
        <v>4.1500000000000004</v>
      </c>
      <c r="L13" s="71">
        <f>J13*H13</f>
        <v>0</v>
      </c>
      <c r="M13" s="71">
        <f t="shared" ref="M13" si="14">L13+L14</f>
        <v>376675.97999999992</v>
      </c>
      <c r="N13" s="72">
        <v>9.3867222073683532E-2</v>
      </c>
      <c r="O13" s="73">
        <f>H13*N13</f>
        <v>0</v>
      </c>
      <c r="P13" s="68">
        <f t="shared" si="10"/>
        <v>0</v>
      </c>
      <c r="Q13" s="16">
        <f>J13*P13</f>
        <v>0</v>
      </c>
      <c r="R13" s="74">
        <f t="shared" si="11"/>
        <v>0</v>
      </c>
      <c r="S13" s="91">
        <f t="shared" ref="S13" si="15">R13+R14</f>
        <v>377589.90594949987</v>
      </c>
      <c r="T13" s="22">
        <f t="shared" si="13"/>
        <v>0</v>
      </c>
      <c r="U13" s="23">
        <f t="shared" si="1"/>
        <v>0</v>
      </c>
    </row>
    <row r="14" spans="1:21" x14ac:dyDescent="0.3">
      <c r="A14" s="76"/>
      <c r="B14" s="77" t="s">
        <v>55</v>
      </c>
      <c r="C14" s="78" t="s">
        <v>63</v>
      </c>
      <c r="D14" s="79">
        <v>2688.3</v>
      </c>
      <c r="E14" s="80">
        <v>3493.4</v>
      </c>
      <c r="F14" s="81">
        <f t="shared" si="2"/>
        <v>805.09999999999991</v>
      </c>
      <c r="G14" s="82">
        <f>400/5</f>
        <v>80</v>
      </c>
      <c r="H14" s="83">
        <f t="shared" si="8"/>
        <v>64407.999999999993</v>
      </c>
      <c r="I14" s="84"/>
      <c r="J14" s="85">
        <v>5.93</v>
      </c>
      <c r="K14" s="84"/>
      <c r="L14" s="86">
        <f>J14*(H14-I13)+I13*K13</f>
        <v>376675.97999999992</v>
      </c>
      <c r="M14" s="86"/>
      <c r="N14" s="87">
        <v>9.3867222073683532E-2</v>
      </c>
      <c r="O14" s="83">
        <f>H14*N14</f>
        <v>6045.8000393218081</v>
      </c>
      <c r="P14" s="83">
        <f t="shared" si="10"/>
        <v>154.11904713321434</v>
      </c>
      <c r="Q14" s="88">
        <f>J14*P14</f>
        <v>913.92594949996101</v>
      </c>
      <c r="R14" s="89">
        <f t="shared" si="11"/>
        <v>377589.90594949987</v>
      </c>
      <c r="S14" s="98"/>
      <c r="T14" s="22">
        <f t="shared" si="13"/>
        <v>377589.90594949987</v>
      </c>
      <c r="U14" s="23">
        <f t="shared" si="1"/>
        <v>2477.2307692307691</v>
      </c>
    </row>
    <row r="15" spans="1:21" x14ac:dyDescent="0.3">
      <c r="A15" s="94" t="s">
        <v>64</v>
      </c>
      <c r="B15" s="62" t="s">
        <v>52</v>
      </c>
      <c r="C15" s="63" t="s">
        <v>65</v>
      </c>
      <c r="D15" s="99">
        <v>2551.527</v>
      </c>
      <c r="E15" s="100">
        <v>2707.623</v>
      </c>
      <c r="F15" s="101">
        <f t="shared" si="2"/>
        <v>156.096</v>
      </c>
      <c r="G15" s="102">
        <v>1500</v>
      </c>
      <c r="H15" s="68">
        <f t="shared" si="8"/>
        <v>234144</v>
      </c>
      <c r="I15" s="69"/>
      <c r="J15" s="70">
        <v>5.93</v>
      </c>
      <c r="K15" s="69"/>
      <c r="L15" s="103">
        <f>J15*H15</f>
        <v>1388473.92</v>
      </c>
      <c r="M15" s="103"/>
      <c r="N15" s="72"/>
      <c r="O15" s="73"/>
      <c r="P15" s="68"/>
      <c r="Q15" s="16"/>
      <c r="R15" s="103"/>
      <c r="S15" s="104"/>
      <c r="T15" s="22"/>
      <c r="U15" s="23"/>
    </row>
    <row r="16" spans="1:21" x14ac:dyDescent="0.3">
      <c r="A16" s="76" t="s">
        <v>66</v>
      </c>
      <c r="B16" s="77"/>
      <c r="C16" s="78"/>
      <c r="D16" s="105">
        <v>0</v>
      </c>
      <c r="E16" s="106"/>
      <c r="F16" s="107"/>
      <c r="G16" s="108"/>
      <c r="H16" s="83"/>
      <c r="I16" s="84"/>
      <c r="J16" s="85"/>
      <c r="K16" s="84"/>
      <c r="L16" s="109"/>
      <c r="M16" s="109"/>
      <c r="N16" s="87"/>
      <c r="O16" s="83"/>
      <c r="P16" s="83"/>
      <c r="Q16" s="88"/>
      <c r="R16" s="110"/>
      <c r="S16" s="111"/>
      <c r="T16" s="22"/>
      <c r="U16" s="23"/>
    </row>
    <row r="17" spans="1:21" x14ac:dyDescent="0.3">
      <c r="A17" s="20"/>
      <c r="B17" s="20"/>
      <c r="C17" s="20"/>
      <c r="D17" s="24"/>
      <c r="E17" s="24"/>
      <c r="F17" s="24"/>
      <c r="G17" s="112"/>
      <c r="H17" s="26"/>
      <c r="I17" s="26"/>
      <c r="J17" s="16"/>
      <c r="K17" s="16"/>
      <c r="L17" s="113"/>
      <c r="M17" s="113"/>
      <c r="N17" s="17"/>
      <c r="O17" s="16"/>
      <c r="P17" s="16"/>
      <c r="Q17" s="16"/>
      <c r="R17" s="16"/>
      <c r="S17" s="16"/>
      <c r="T17" s="22"/>
      <c r="U17" s="23"/>
    </row>
    <row r="18" spans="1:21" x14ac:dyDescent="0.3">
      <c r="A18" s="114"/>
      <c r="B18" s="114"/>
      <c r="C18" s="114"/>
      <c r="D18" s="115"/>
      <c r="E18" s="24"/>
      <c r="F18" s="24"/>
      <c r="G18" s="116" t="s">
        <v>67</v>
      </c>
      <c r="H18" s="26">
        <f>SUM(H7:H14)</f>
        <v>233608.88000000076</v>
      </c>
      <c r="I18" s="26"/>
      <c r="J18" s="20" t="s">
        <v>46</v>
      </c>
      <c r="K18" s="20"/>
      <c r="L18" s="16"/>
      <c r="M18" s="16"/>
      <c r="N18" s="17"/>
      <c r="O18" s="16"/>
      <c r="P18" s="16"/>
      <c r="Q18" s="16"/>
      <c r="R18" s="16"/>
      <c r="S18" s="16"/>
      <c r="T18" s="22"/>
      <c r="U18" s="23"/>
    </row>
    <row r="19" spans="1:21" x14ac:dyDescent="0.3">
      <c r="A19" s="117"/>
      <c r="B19" s="117"/>
      <c r="C19" s="117"/>
      <c r="D19" s="118"/>
      <c r="E19" s="24"/>
      <c r="F19" s="24"/>
      <c r="G19" s="116" t="s">
        <v>68</v>
      </c>
      <c r="H19" s="26">
        <f>IF(H15&gt;0,H15-H18,0)</f>
        <v>535.11999999923864</v>
      </c>
      <c r="I19" s="26"/>
      <c r="J19" s="20" t="s">
        <v>46</v>
      </c>
      <c r="K19" s="20"/>
      <c r="L19" s="16"/>
      <c r="M19" s="16"/>
      <c r="N19" s="17"/>
      <c r="O19" s="26">
        <f>SUM(O7:O14)</f>
        <v>20991.750060853155</v>
      </c>
      <c r="P19" s="16">
        <f>SUM(P7:P14)</f>
        <v>535.11999999923853</v>
      </c>
      <c r="Q19" s="16">
        <f>SUM(Q7:Q16)</f>
        <v>3173.2615999954842</v>
      </c>
      <c r="R19" s="119">
        <f>SUM(R7:R14)</f>
        <v>1383210.46</v>
      </c>
      <c r="S19" s="119"/>
      <c r="T19" s="120">
        <f>SUM(T7:T14)</f>
        <v>1383210.46</v>
      </c>
      <c r="U19" s="20"/>
    </row>
    <row r="20" spans="1:21" x14ac:dyDescent="0.3">
      <c r="A20" s="117"/>
      <c r="B20" s="117"/>
      <c r="C20" s="117"/>
      <c r="D20" s="118"/>
      <c r="E20" s="24"/>
      <c r="F20" s="24"/>
      <c r="G20" s="116" t="s">
        <v>69</v>
      </c>
      <c r="H20" s="17">
        <f>IF(H15&gt;0,H19/H15,0)</f>
        <v>2.2854311876419581E-3</v>
      </c>
      <c r="I20" s="17"/>
      <c r="J20" s="16"/>
      <c r="K20" s="16"/>
      <c r="L20" s="16"/>
      <c r="M20" s="16"/>
      <c r="N20" s="17"/>
      <c r="O20" s="16"/>
      <c r="P20" s="16"/>
      <c r="Q20" s="16"/>
      <c r="R20" s="16"/>
      <c r="S20" s="16"/>
      <c r="T20" s="22"/>
      <c r="U20" s="20"/>
    </row>
    <row r="21" spans="1:21" x14ac:dyDescent="0.3">
      <c r="A21" s="117"/>
      <c r="B21" s="117"/>
      <c r="C21" s="117"/>
      <c r="D21" s="118"/>
      <c r="E21" s="24"/>
      <c r="F21" s="24"/>
      <c r="G21" s="25"/>
      <c r="H21" s="16"/>
      <c r="I21" s="16"/>
      <c r="J21" s="16"/>
      <c r="K21" s="16"/>
      <c r="L21" s="16"/>
      <c r="M21" s="16"/>
      <c r="N21" s="17"/>
      <c r="O21" s="16"/>
      <c r="P21" s="16"/>
      <c r="Q21" s="16"/>
      <c r="R21" s="16"/>
      <c r="S21" s="16"/>
      <c r="T21" s="22"/>
      <c r="U21" s="20"/>
    </row>
    <row r="22" spans="1:21" x14ac:dyDescent="0.3">
      <c r="A22" s="117"/>
      <c r="B22" s="117"/>
      <c r="C22" s="117"/>
      <c r="D22" s="118"/>
      <c r="E22" s="24"/>
      <c r="F22" s="24"/>
      <c r="G22" s="25"/>
      <c r="H22" s="16"/>
      <c r="I22" s="16"/>
      <c r="J22" s="16"/>
      <c r="K22" s="16"/>
      <c r="L22" s="16"/>
      <c r="M22" s="16"/>
      <c r="N22" s="17"/>
      <c r="O22" s="16"/>
      <c r="P22" s="16"/>
      <c r="Q22" s="16"/>
      <c r="R22" s="121" t="s">
        <v>70</v>
      </c>
      <c r="S22" s="122" t="s">
        <v>71</v>
      </c>
      <c r="T22" s="122" t="s">
        <v>72</v>
      </c>
      <c r="U22" s="20"/>
    </row>
    <row r="23" spans="1:21" x14ac:dyDescent="0.3">
      <c r="A23" s="123"/>
      <c r="B23" s="123"/>
      <c r="C23" s="123"/>
      <c r="D23" s="124"/>
      <c r="E23" s="124"/>
      <c r="F23" s="124"/>
      <c r="G23" s="125" t="s">
        <v>73</v>
      </c>
      <c r="H23" s="119">
        <f>H11+H12+H13+H14</f>
        <v>136342.00000000052</v>
      </c>
      <c r="I23" s="119"/>
      <c r="J23" s="119"/>
      <c r="K23" s="119"/>
      <c r="L23" s="119"/>
      <c r="M23" s="119"/>
      <c r="N23" s="123"/>
      <c r="O23" s="126" t="s">
        <v>74</v>
      </c>
      <c r="P23" s="127">
        <f>71934+64408</f>
        <v>136342</v>
      </c>
      <c r="Q23" s="119"/>
      <c r="R23" s="75" t="s">
        <v>75</v>
      </c>
      <c r="S23" s="128"/>
      <c r="T23" s="129"/>
      <c r="U23" s="123"/>
    </row>
    <row r="24" spans="1:21" x14ac:dyDescent="0.3">
      <c r="A24" s="130"/>
      <c r="B24" s="130"/>
      <c r="C24" s="130"/>
      <c r="D24" s="124"/>
      <c r="E24" s="124"/>
      <c r="F24" s="124"/>
      <c r="G24" s="125" t="s">
        <v>76</v>
      </c>
      <c r="H24" s="119">
        <f>L11+L12+L13+L14</f>
        <v>803244.600000003</v>
      </c>
      <c r="I24" s="119"/>
      <c r="J24" s="119"/>
      <c r="K24" s="119"/>
      <c r="L24" s="119"/>
      <c r="M24" s="119"/>
      <c r="N24" s="131"/>
      <c r="O24" s="126" t="s">
        <v>77</v>
      </c>
      <c r="P24" s="127">
        <v>803242.28</v>
      </c>
      <c r="Q24" s="119"/>
      <c r="R24" s="98">
        <f>M13</f>
        <v>376675.97999999992</v>
      </c>
      <c r="S24" s="132"/>
      <c r="T24" s="98">
        <f>IF(S24&gt;0,R24-S24,0)</f>
        <v>0</v>
      </c>
      <c r="U24" s="117"/>
    </row>
    <row r="25" spans="1:21" x14ac:dyDescent="0.3">
      <c r="A25" s="133"/>
      <c r="B25" s="133"/>
      <c r="C25" s="133"/>
      <c r="D25" s="24"/>
      <c r="E25" s="24"/>
      <c r="F25" s="24"/>
      <c r="G25" s="25"/>
      <c r="H25" s="16"/>
      <c r="I25" s="16"/>
      <c r="J25" s="16"/>
      <c r="K25" s="16"/>
      <c r="L25" s="16"/>
      <c r="M25" s="16"/>
      <c r="N25" s="17"/>
      <c r="O25" s="16"/>
      <c r="P25" s="16"/>
      <c r="Q25" s="16"/>
      <c r="R25" s="104" t="s">
        <v>78</v>
      </c>
      <c r="S25" s="128"/>
      <c r="T25" s="134"/>
      <c r="U25" s="117"/>
    </row>
    <row r="26" spans="1:21" x14ac:dyDescent="0.3">
      <c r="A26" s="20"/>
      <c r="B26" s="20"/>
      <c r="C26" s="20"/>
      <c r="D26" s="24"/>
      <c r="E26" s="24"/>
      <c r="F26" s="24"/>
      <c r="G26" s="25"/>
      <c r="H26" s="26"/>
      <c r="I26" s="26"/>
      <c r="J26" s="16"/>
      <c r="K26" s="16"/>
      <c r="L26" s="16"/>
      <c r="M26" s="16"/>
      <c r="N26" s="17"/>
      <c r="O26" s="16"/>
      <c r="P26" s="16"/>
      <c r="Q26" s="16"/>
      <c r="R26" s="111">
        <f>M11</f>
        <v>426568.62000000308</v>
      </c>
      <c r="S26" s="135"/>
      <c r="T26" s="111">
        <f>IF(S26&gt;0,R26-S26,0)</f>
        <v>0</v>
      </c>
      <c r="U26" s="117"/>
    </row>
    <row r="27" spans="1:21" x14ac:dyDescent="0.3">
      <c r="A27" s="20"/>
      <c r="B27" s="20"/>
      <c r="C27" s="20"/>
      <c r="D27" s="24" t="s">
        <v>79</v>
      </c>
      <c r="E27" s="24"/>
      <c r="F27" s="24"/>
      <c r="G27" s="25"/>
      <c r="H27" s="26"/>
      <c r="I27" s="26"/>
      <c r="J27" s="16"/>
      <c r="K27" s="16"/>
      <c r="L27" s="16"/>
      <c r="M27" s="16"/>
      <c r="N27" s="17"/>
      <c r="O27" s="16"/>
      <c r="P27" s="16"/>
      <c r="Q27" s="16"/>
      <c r="R27" s="104" t="s">
        <v>80</v>
      </c>
      <c r="S27" s="136"/>
      <c r="T27" s="134"/>
      <c r="U27" s="117"/>
    </row>
    <row r="28" spans="1:21" x14ac:dyDescent="0.3">
      <c r="A28" s="20"/>
      <c r="B28" s="20"/>
      <c r="C28" s="20"/>
      <c r="D28" s="24" t="s">
        <v>81</v>
      </c>
      <c r="E28" s="24"/>
      <c r="F28" s="24"/>
      <c r="G28" s="25"/>
      <c r="H28" s="26"/>
      <c r="I28" s="26"/>
      <c r="J28" s="16"/>
      <c r="K28" s="16"/>
      <c r="L28" s="16" t="s">
        <v>82</v>
      </c>
      <c r="M28" s="16"/>
      <c r="N28" s="17"/>
      <c r="O28" s="16"/>
      <c r="P28" s="16"/>
      <c r="Q28" s="16"/>
      <c r="R28" s="111">
        <f>R24+R26</f>
        <v>803244.600000003</v>
      </c>
      <c r="S28" s="135"/>
      <c r="T28" s="111">
        <f>T24+T26</f>
        <v>0</v>
      </c>
      <c r="U28" s="117"/>
    </row>
  </sheetData>
  <mergeCells count="3">
    <mergeCell ref="B4:C4"/>
    <mergeCell ref="D4:E4"/>
    <mergeCell ref="D5:E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E63BE-5EDB-4E2C-B9FF-AAE7A620A275}">
  <sheetPr>
    <tabColor rgb="FF00FF00"/>
  </sheetPr>
  <dimension ref="A1:U28"/>
  <sheetViews>
    <sheetView showZeros="0" topLeftCell="A7" workbookViewId="0">
      <selection activeCell="M25" sqref="M25:P25"/>
    </sheetView>
  </sheetViews>
  <sheetFormatPr defaultRowHeight="14.4" x14ac:dyDescent="0.3"/>
  <cols>
    <col min="1" max="1" width="9.109375" customWidth="1"/>
    <col min="2" max="2" width="11.44140625" bestFit="1" customWidth="1"/>
    <col min="3" max="3" width="13.33203125" bestFit="1" customWidth="1"/>
    <col min="4" max="5" width="9.109375" customWidth="1"/>
    <col min="6" max="6" width="7.21875" bestFit="1" customWidth="1"/>
    <col min="7" max="7" width="6.5546875" customWidth="1"/>
    <col min="8" max="8" width="9.21875" bestFit="1" customWidth="1"/>
    <col min="9" max="9" width="7.88671875" bestFit="1" customWidth="1"/>
    <col min="10" max="11" width="5.33203125" bestFit="1" customWidth="1"/>
    <col min="12" max="12" width="11.21875" customWidth="1"/>
    <col min="13" max="13" width="11.6640625" bestFit="1" customWidth="1"/>
    <col min="14" max="14" width="6.44140625" bestFit="1" customWidth="1"/>
    <col min="15" max="15" width="7.88671875" customWidth="1"/>
    <col min="16" max="16" width="9.21875" bestFit="1" customWidth="1"/>
    <col min="17" max="17" width="8.77734375" bestFit="1" customWidth="1"/>
    <col min="18" max="19" width="10.5546875" bestFit="1" customWidth="1"/>
    <col min="20" max="20" width="10.109375" bestFit="1" customWidth="1"/>
    <col min="21" max="21" width="12.109375" bestFit="1" customWidth="1"/>
  </cols>
  <sheetData>
    <row r="1" spans="1:21" ht="15.6" x14ac:dyDescent="0.3">
      <c r="A1" s="1" t="s">
        <v>0</v>
      </c>
      <c r="B1" s="1"/>
      <c r="C1" s="1"/>
      <c r="D1" s="2"/>
      <c r="E1" s="2"/>
      <c r="F1" s="2"/>
      <c r="G1" s="1"/>
      <c r="H1" s="3"/>
      <c r="I1" s="3"/>
      <c r="J1" s="4"/>
      <c r="K1" s="4"/>
      <c r="L1" s="5"/>
      <c r="M1" s="5"/>
      <c r="N1" s="6"/>
      <c r="O1" s="7"/>
      <c r="P1" s="7"/>
      <c r="Q1" s="4"/>
      <c r="R1" s="4"/>
      <c r="S1" s="4"/>
      <c r="T1" s="8"/>
      <c r="U1" s="9"/>
    </row>
    <row r="2" spans="1:21" x14ac:dyDescent="0.3">
      <c r="A2" s="10" t="s">
        <v>1</v>
      </c>
      <c r="B2" s="11" t="s">
        <v>92</v>
      </c>
      <c r="C2" s="12" t="s">
        <v>3</v>
      </c>
      <c r="D2" s="13">
        <v>2022</v>
      </c>
      <c r="E2" s="14" t="s">
        <v>4</v>
      </c>
      <c r="F2" s="15">
        <v>26</v>
      </c>
      <c r="G2" s="16"/>
      <c r="H2" s="16"/>
      <c r="I2" s="16"/>
      <c r="J2" s="16"/>
      <c r="K2" s="16"/>
      <c r="L2" s="17"/>
      <c r="M2" s="16"/>
      <c r="N2" s="16"/>
      <c r="O2" s="18" t="s">
        <v>5</v>
      </c>
      <c r="P2" s="19">
        <v>32</v>
      </c>
      <c r="Q2" s="20"/>
      <c r="R2" s="20"/>
      <c r="S2" s="21"/>
      <c r="T2" s="22"/>
      <c r="U2" s="23"/>
    </row>
    <row r="3" spans="1:21" s="139" customFormat="1" ht="12" x14ac:dyDescent="0.25">
      <c r="A3" s="138" t="s">
        <v>85</v>
      </c>
      <c r="B3" s="20"/>
      <c r="C3" s="140">
        <f>Июл!C3</f>
        <v>6.17</v>
      </c>
      <c r="D3" s="24"/>
      <c r="E3" s="137" t="s">
        <v>86</v>
      </c>
      <c r="F3" s="24"/>
      <c r="G3" s="140">
        <f>Июл!G3</f>
        <v>4.32</v>
      </c>
      <c r="H3" s="26"/>
      <c r="I3" s="26"/>
      <c r="J3" s="16"/>
      <c r="K3" s="16"/>
      <c r="L3" s="16"/>
      <c r="M3" s="16"/>
      <c r="N3" s="17"/>
      <c r="O3" s="16"/>
      <c r="P3" s="16"/>
      <c r="Q3" s="16"/>
      <c r="R3" s="16"/>
      <c r="S3" s="16"/>
      <c r="T3" s="22"/>
      <c r="U3" s="23"/>
    </row>
    <row r="4" spans="1:21" x14ac:dyDescent="0.3">
      <c r="A4" s="27" t="s">
        <v>6</v>
      </c>
      <c r="B4" s="199" t="s">
        <v>7</v>
      </c>
      <c r="C4" s="200"/>
      <c r="D4" s="205" t="s">
        <v>8</v>
      </c>
      <c r="E4" s="206"/>
      <c r="F4" s="28" t="s">
        <v>9</v>
      </c>
      <c r="G4" s="29" t="s">
        <v>10</v>
      </c>
      <c r="H4" s="30" t="s">
        <v>11</v>
      </c>
      <c r="I4" s="30" t="s">
        <v>12</v>
      </c>
      <c r="J4" s="31" t="s">
        <v>13</v>
      </c>
      <c r="K4" s="32" t="s">
        <v>14</v>
      </c>
      <c r="L4" s="33" t="s">
        <v>15</v>
      </c>
      <c r="M4" s="33" t="s">
        <v>16</v>
      </c>
      <c r="N4" s="34" t="s">
        <v>17</v>
      </c>
      <c r="O4" s="35" t="s">
        <v>18</v>
      </c>
      <c r="P4" s="35" t="s">
        <v>19</v>
      </c>
      <c r="Q4" s="35" t="s">
        <v>15</v>
      </c>
      <c r="R4" s="36" t="s">
        <v>20</v>
      </c>
      <c r="S4" s="37" t="s">
        <v>21</v>
      </c>
      <c r="T4" s="38" t="s">
        <v>22</v>
      </c>
      <c r="U4" s="23" t="s">
        <v>23</v>
      </c>
    </row>
    <row r="5" spans="1:21" x14ac:dyDescent="0.3">
      <c r="A5" s="39"/>
      <c r="B5" s="27" t="s">
        <v>24</v>
      </c>
      <c r="C5" s="27" t="s">
        <v>25</v>
      </c>
      <c r="D5" s="207" t="s">
        <v>26</v>
      </c>
      <c r="E5" s="208"/>
      <c r="F5" s="40"/>
      <c r="G5" s="41" t="s">
        <v>27</v>
      </c>
      <c r="H5" s="39" t="s">
        <v>28</v>
      </c>
      <c r="I5" s="39" t="s">
        <v>29</v>
      </c>
      <c r="J5" s="42" t="s">
        <v>30</v>
      </c>
      <c r="K5" s="43" t="s">
        <v>31</v>
      </c>
      <c r="L5" s="44" t="s">
        <v>32</v>
      </c>
      <c r="M5" s="44" t="s">
        <v>33</v>
      </c>
      <c r="N5" s="45" t="s">
        <v>34</v>
      </c>
      <c r="O5" s="46" t="s">
        <v>35</v>
      </c>
      <c r="P5" s="46" t="s">
        <v>36</v>
      </c>
      <c r="Q5" s="46" t="s">
        <v>37</v>
      </c>
      <c r="R5" s="47" t="s">
        <v>38</v>
      </c>
      <c r="S5" s="48" t="s">
        <v>39</v>
      </c>
      <c r="T5" s="38" t="s">
        <v>40</v>
      </c>
      <c r="U5" s="23" t="s">
        <v>41</v>
      </c>
    </row>
    <row r="6" spans="1:21" x14ac:dyDescent="0.3">
      <c r="A6" s="49"/>
      <c r="B6" s="49" t="s">
        <v>42</v>
      </c>
      <c r="C6" s="49" t="s">
        <v>42</v>
      </c>
      <c r="D6" s="50" t="s">
        <v>43</v>
      </c>
      <c r="E6" s="51" t="s">
        <v>44</v>
      </c>
      <c r="F6" s="52"/>
      <c r="G6" s="53" t="s">
        <v>45</v>
      </c>
      <c r="H6" s="54" t="s">
        <v>46</v>
      </c>
      <c r="I6" s="54" t="s">
        <v>47</v>
      </c>
      <c r="J6" s="55" t="s">
        <v>46</v>
      </c>
      <c r="K6" s="56"/>
      <c r="L6" s="57" t="s">
        <v>48</v>
      </c>
      <c r="M6" s="57" t="s">
        <v>48</v>
      </c>
      <c r="N6" s="58"/>
      <c r="O6" s="59" t="s">
        <v>46</v>
      </c>
      <c r="P6" s="59" t="s">
        <v>46</v>
      </c>
      <c r="Q6" s="59" t="s">
        <v>48</v>
      </c>
      <c r="R6" s="60" t="s">
        <v>49</v>
      </c>
      <c r="S6" s="60" t="s">
        <v>49</v>
      </c>
      <c r="T6" s="38" t="s">
        <v>34</v>
      </c>
      <c r="U6" s="23" t="s">
        <v>50</v>
      </c>
    </row>
    <row r="7" spans="1:21" x14ac:dyDescent="0.3">
      <c r="A7" s="61" t="s">
        <v>51</v>
      </c>
      <c r="B7" s="62" t="s">
        <v>52</v>
      </c>
      <c r="C7" s="63" t="s">
        <v>53</v>
      </c>
      <c r="D7" s="64">
        <f>Июл!E7</f>
        <v>75979.342999999993</v>
      </c>
      <c r="E7" s="65">
        <v>75979.342999999993</v>
      </c>
      <c r="F7" s="66">
        <f t="shared" ref="F7:F8" si="0">IF(E7&gt;0,E7-D7,0)</f>
        <v>0</v>
      </c>
      <c r="G7" s="67">
        <v>60</v>
      </c>
      <c r="H7" s="68">
        <f t="shared" ref="H7:H8" si="1">F7*G7</f>
        <v>0</v>
      </c>
      <c r="I7" s="157"/>
      <c r="J7" s="70">
        <f>IF(G7&gt;0,$C$3,0)</f>
        <v>6.17</v>
      </c>
      <c r="K7" s="70">
        <f>IF(G7&gt;0,$G$3,0)</f>
        <v>4.32</v>
      </c>
      <c r="L7" s="71">
        <f t="shared" ref="L7:L8" si="2">J7*(H7-I7)+I7*K7</f>
        <v>0</v>
      </c>
      <c r="M7" s="71">
        <f>L7+L8</f>
        <v>388658.17200000002</v>
      </c>
      <c r="N7" s="72">
        <v>8.4239417043940584E-2</v>
      </c>
      <c r="O7" s="73">
        <f>H7*N7</f>
        <v>0</v>
      </c>
      <c r="P7" s="68">
        <f t="shared" ref="P7:P8" si="3">IF($O$19&gt;0,O7*$H$19/$O$19,0)</f>
        <v>0</v>
      </c>
      <c r="Q7" s="16">
        <f>J7*P7</f>
        <v>0</v>
      </c>
      <c r="R7" s="74">
        <f t="shared" ref="R7:R8" si="4">IF(P7&gt;0,L7+Q7,L7)</f>
        <v>0</v>
      </c>
      <c r="S7" s="91">
        <f t="shared" ref="S7" si="5">R7+R8</f>
        <v>390358.14344668412</v>
      </c>
      <c r="T7" s="22">
        <f>L7+Q7</f>
        <v>0</v>
      </c>
      <c r="U7" s="23">
        <f t="shared" ref="U7:U14" si="6">IF($P$2&gt;0,H7/$P$2,0)</f>
        <v>0</v>
      </c>
    </row>
    <row r="8" spans="1:21" x14ac:dyDescent="0.3">
      <c r="A8" s="76"/>
      <c r="B8" s="77"/>
      <c r="C8" s="78"/>
      <c r="D8" s="79">
        <f>Июл!E8</f>
        <v>1078.56</v>
      </c>
      <c r="E8" s="80">
        <v>1603.49</v>
      </c>
      <c r="F8" s="81">
        <f t="shared" si="0"/>
        <v>524.93000000000006</v>
      </c>
      <c r="G8" s="82">
        <f>600/5</f>
        <v>120</v>
      </c>
      <c r="H8" s="83">
        <f t="shared" si="1"/>
        <v>62991.600000000006</v>
      </c>
      <c r="I8" s="158"/>
      <c r="J8" s="85">
        <f t="shared" ref="J8" si="7">IF(G8&gt;0,$C$3,0)</f>
        <v>6.17</v>
      </c>
      <c r="K8" s="135">
        <f t="shared" ref="K8" si="8">IF(G8&gt;0,$G$3,0)</f>
        <v>4.32</v>
      </c>
      <c r="L8" s="86">
        <f t="shared" si="2"/>
        <v>388658.17200000002</v>
      </c>
      <c r="M8" s="86"/>
      <c r="N8" s="87">
        <v>8.4239417043940584E-2</v>
      </c>
      <c r="O8" s="83">
        <f>H8*N8</f>
        <v>5306.3756626650884</v>
      </c>
      <c r="P8" s="83">
        <f t="shared" si="3"/>
        <v>275.52211453551081</v>
      </c>
      <c r="Q8" s="88">
        <f>J8*P8</f>
        <v>1699.9714466841017</v>
      </c>
      <c r="R8" s="89">
        <f t="shared" si="4"/>
        <v>390358.14344668412</v>
      </c>
      <c r="S8" s="90"/>
      <c r="T8" s="22"/>
      <c r="U8" s="23">
        <f t="shared" si="6"/>
        <v>1968.4875000000002</v>
      </c>
    </row>
    <row r="9" spans="1:21" x14ac:dyDescent="0.3">
      <c r="A9" s="61" t="s">
        <v>54</v>
      </c>
      <c r="B9" s="62" t="s">
        <v>55</v>
      </c>
      <c r="C9" s="63" t="s">
        <v>56</v>
      </c>
      <c r="D9" s="64">
        <f>Июл!E9</f>
        <v>17766.8</v>
      </c>
      <c r="E9" s="65">
        <v>18310.7</v>
      </c>
      <c r="F9" s="66">
        <f t="shared" ref="F9:F15" si="9">IF(E9&gt;0,E9-D9,0)</f>
        <v>543.90000000000146</v>
      </c>
      <c r="G9" s="67">
        <v>50</v>
      </c>
      <c r="H9" s="68">
        <f>F9*G9+F10*G10</f>
        <v>27195.000000000073</v>
      </c>
      <c r="I9" s="69"/>
      <c r="J9" s="70">
        <f t="shared" ref="J9:J16" si="10">IF(G9&gt;0,$C$3,0)</f>
        <v>6.17</v>
      </c>
      <c r="K9" s="70">
        <f t="shared" ref="K9:K16" si="11">IF(G9&gt;0,$G$3,0)</f>
        <v>4.32</v>
      </c>
      <c r="L9" s="71">
        <f t="shared" ref="L9:L13" si="12">J9*(H9-I9)+I9*K9</f>
        <v>167793.15000000046</v>
      </c>
      <c r="M9" s="71">
        <f t="shared" ref="M9" si="13">L9+L10</f>
        <v>167793.15000000046</v>
      </c>
      <c r="N9" s="72">
        <v>8.4239417043940584E-2</v>
      </c>
      <c r="O9" s="73">
        <f>H9*N9</f>
        <v>2290.8909465099705</v>
      </c>
      <c r="P9" s="68">
        <f t="shared" ref="P9" si="14">IF($O$19&gt;0,O9*$H$19/$O$19,0)</f>
        <v>118.94957271752482</v>
      </c>
      <c r="Q9" s="16">
        <f>J9*P9</f>
        <v>733.91886366712811</v>
      </c>
      <c r="R9" s="74">
        <f t="shared" ref="R9" si="15">IF(P9&gt;0,L9+Q9,L9)</f>
        <v>168527.06886366758</v>
      </c>
      <c r="S9" s="91">
        <f t="shared" ref="S9" si="16">R9+R10</f>
        <v>168527.06886366758</v>
      </c>
      <c r="T9" s="22">
        <f t="shared" ref="T9" si="17">L9+Q9</f>
        <v>168527.06886366758</v>
      </c>
      <c r="U9" s="23">
        <f t="shared" si="6"/>
        <v>849.84375000000227</v>
      </c>
    </row>
    <row r="10" spans="1:21" x14ac:dyDescent="0.3">
      <c r="A10" s="92" t="s">
        <v>57</v>
      </c>
      <c r="B10" s="77"/>
      <c r="C10" s="78"/>
      <c r="D10" s="79">
        <f>Июл!E10</f>
        <v>0</v>
      </c>
      <c r="E10" s="80"/>
      <c r="F10" s="93"/>
      <c r="G10" s="82"/>
      <c r="H10" s="83"/>
      <c r="I10" s="84"/>
      <c r="J10" s="85">
        <f t="shared" si="10"/>
        <v>0</v>
      </c>
      <c r="K10" s="135">
        <f t="shared" si="11"/>
        <v>0</v>
      </c>
      <c r="L10" s="86">
        <f t="shared" si="12"/>
        <v>0</v>
      </c>
      <c r="M10" s="86"/>
      <c r="N10" s="87"/>
      <c r="O10" s="83"/>
      <c r="P10" s="83"/>
      <c r="Q10" s="88"/>
      <c r="R10" s="89"/>
      <c r="S10" s="90"/>
      <c r="T10" s="22"/>
      <c r="U10" s="23">
        <f t="shared" si="6"/>
        <v>0</v>
      </c>
    </row>
    <row r="11" spans="1:21" x14ac:dyDescent="0.3">
      <c r="A11" s="94" t="s">
        <v>58</v>
      </c>
      <c r="B11" s="62" t="s">
        <v>55</v>
      </c>
      <c r="C11" s="63" t="s">
        <v>59</v>
      </c>
      <c r="D11" s="64">
        <f>Июл!E11</f>
        <v>89787.1</v>
      </c>
      <c r="E11" s="95">
        <v>90887.2</v>
      </c>
      <c r="F11" s="66">
        <f t="shared" si="9"/>
        <v>1100.0999999999913</v>
      </c>
      <c r="G11" s="67">
        <v>60</v>
      </c>
      <c r="H11" s="68">
        <f t="shared" ref="H11:H15" si="18">F11*G11</f>
        <v>66005.999999999476</v>
      </c>
      <c r="I11" s="69"/>
      <c r="J11" s="70">
        <f t="shared" si="10"/>
        <v>6.17</v>
      </c>
      <c r="K11" s="70">
        <f t="shared" si="11"/>
        <v>4.32</v>
      </c>
      <c r="L11" s="71">
        <f t="shared" si="12"/>
        <v>407257.01999999676</v>
      </c>
      <c r="M11" s="71">
        <f t="shared" ref="M11" si="19">L11+L12</f>
        <v>407257.01999999676</v>
      </c>
      <c r="N11" s="72">
        <v>9.3867222073683532E-2</v>
      </c>
      <c r="O11" s="73">
        <f>H11*N11</f>
        <v>6195.799860195506</v>
      </c>
      <c r="P11" s="68">
        <f t="shared" ref="P11:P14" si="20">IF($O$19&gt;0,O11*$H$19/$O$19,0)</f>
        <v>321.70354819216089</v>
      </c>
      <c r="Q11" s="16">
        <f>J11*P11</f>
        <v>1984.9108923456326</v>
      </c>
      <c r="R11" s="74">
        <f t="shared" ref="R11:R14" si="21">IF(P11&gt;0,L11+Q11,L11)</f>
        <v>409241.93089234241</v>
      </c>
      <c r="S11" s="91">
        <f t="shared" ref="S11" si="22">R11+R12</f>
        <v>409241.93089234241</v>
      </c>
      <c r="T11" s="22">
        <f t="shared" ref="T11:T14" si="23">L11+Q11</f>
        <v>409241.93089234241</v>
      </c>
      <c r="U11" s="23">
        <f t="shared" si="6"/>
        <v>2062.6874999999836</v>
      </c>
    </row>
    <row r="12" spans="1:21" x14ac:dyDescent="0.3">
      <c r="A12" s="76"/>
      <c r="B12" s="77" t="s">
        <v>55</v>
      </c>
      <c r="C12" s="78" t="s">
        <v>60</v>
      </c>
      <c r="D12" s="79">
        <f>Июл!E12</f>
        <v>3</v>
      </c>
      <c r="E12" s="80">
        <v>3</v>
      </c>
      <c r="F12" s="81">
        <f t="shared" si="9"/>
        <v>0</v>
      </c>
      <c r="G12" s="82">
        <f>400/5</f>
        <v>80</v>
      </c>
      <c r="H12" s="83">
        <f t="shared" si="18"/>
        <v>0</v>
      </c>
      <c r="I12" s="84"/>
      <c r="J12" s="85">
        <f t="shared" si="10"/>
        <v>6.17</v>
      </c>
      <c r="K12" s="135">
        <f t="shared" si="11"/>
        <v>4.32</v>
      </c>
      <c r="L12" s="86">
        <f t="shared" si="12"/>
        <v>0</v>
      </c>
      <c r="M12" s="86"/>
      <c r="N12" s="87">
        <v>9.3867222073683532E-2</v>
      </c>
      <c r="O12" s="83">
        <f>H12*N12</f>
        <v>0</v>
      </c>
      <c r="P12" s="83">
        <f t="shared" si="20"/>
        <v>0</v>
      </c>
      <c r="Q12" s="88">
        <f>J12*P12</f>
        <v>0</v>
      </c>
      <c r="R12" s="89">
        <f t="shared" si="21"/>
        <v>0</v>
      </c>
      <c r="S12" s="90"/>
      <c r="T12" s="22">
        <f t="shared" si="23"/>
        <v>0</v>
      </c>
      <c r="U12" s="23">
        <f t="shared" si="6"/>
        <v>0</v>
      </c>
    </row>
    <row r="13" spans="1:21" x14ac:dyDescent="0.3">
      <c r="A13" s="94" t="s">
        <v>61</v>
      </c>
      <c r="B13" s="62" t="s">
        <v>55</v>
      </c>
      <c r="C13" s="63" t="s">
        <v>62</v>
      </c>
      <c r="D13" s="64">
        <f>Июл!E13</f>
        <v>7770.7</v>
      </c>
      <c r="E13" s="95">
        <v>7770.7</v>
      </c>
      <c r="F13" s="66">
        <f t="shared" si="9"/>
        <v>0</v>
      </c>
      <c r="G13" s="67">
        <v>40</v>
      </c>
      <c r="H13" s="68">
        <f t="shared" si="18"/>
        <v>0</v>
      </c>
      <c r="I13" s="96"/>
      <c r="J13" s="70">
        <f t="shared" si="10"/>
        <v>6.17</v>
      </c>
      <c r="K13" s="70">
        <f t="shared" si="11"/>
        <v>4.32</v>
      </c>
      <c r="L13" s="71">
        <f t="shared" si="12"/>
        <v>0</v>
      </c>
      <c r="M13" s="71">
        <f t="shared" ref="M13" si="24">L13+L14</f>
        <v>351634.98000000056</v>
      </c>
      <c r="N13" s="72">
        <v>9.3867222073683532E-2</v>
      </c>
      <c r="O13" s="73">
        <f>H13*N13</f>
        <v>0</v>
      </c>
      <c r="P13" s="68">
        <f t="shared" si="20"/>
        <v>0</v>
      </c>
      <c r="Q13" s="16">
        <f>J13*P13</f>
        <v>0</v>
      </c>
      <c r="R13" s="74">
        <f t="shared" si="21"/>
        <v>0</v>
      </c>
      <c r="S13" s="91">
        <f t="shared" ref="S13" si="25">R13+R14</f>
        <v>353397.90179730492</v>
      </c>
      <c r="T13" s="22">
        <f t="shared" si="23"/>
        <v>0</v>
      </c>
      <c r="U13" s="23">
        <f t="shared" si="6"/>
        <v>0</v>
      </c>
    </row>
    <row r="14" spans="1:21" x14ac:dyDescent="0.3">
      <c r="A14" s="76"/>
      <c r="B14" s="77" t="s">
        <v>55</v>
      </c>
      <c r="C14" s="78" t="s">
        <v>63</v>
      </c>
      <c r="D14" s="79">
        <f>Июл!E14</f>
        <v>9585.2999999999993</v>
      </c>
      <c r="E14" s="80">
        <v>10318.1</v>
      </c>
      <c r="F14" s="81">
        <f t="shared" si="9"/>
        <v>732.80000000000109</v>
      </c>
      <c r="G14" s="82">
        <f>400/5</f>
        <v>80</v>
      </c>
      <c r="H14" s="83">
        <f t="shared" si="18"/>
        <v>58624.000000000087</v>
      </c>
      <c r="I14" s="84">
        <v>5446</v>
      </c>
      <c r="J14" s="85">
        <f t="shared" si="10"/>
        <v>6.17</v>
      </c>
      <c r="K14" s="135">
        <f t="shared" si="11"/>
        <v>4.32</v>
      </c>
      <c r="L14" s="86">
        <f>J14*(H14-I14)+I14*K14</f>
        <v>351634.98000000056</v>
      </c>
      <c r="M14" s="86"/>
      <c r="N14" s="87">
        <v>9.3867222073683532E-2</v>
      </c>
      <c r="O14" s="83">
        <f>H14*N14</f>
        <v>5502.8720268476318</v>
      </c>
      <c r="P14" s="83">
        <f t="shared" si="20"/>
        <v>285.72476455500134</v>
      </c>
      <c r="Q14" s="88">
        <f>J14*P14</f>
        <v>1762.9217973043583</v>
      </c>
      <c r="R14" s="89">
        <f t="shared" si="21"/>
        <v>353397.90179730492</v>
      </c>
      <c r="S14" s="98"/>
      <c r="T14" s="22">
        <f t="shared" si="23"/>
        <v>353397.90179730492</v>
      </c>
      <c r="U14" s="23">
        <f t="shared" si="6"/>
        <v>1832.0000000000027</v>
      </c>
    </row>
    <row r="15" spans="1:21" x14ac:dyDescent="0.3">
      <c r="A15" s="94" t="s">
        <v>64</v>
      </c>
      <c r="B15" s="62" t="s">
        <v>52</v>
      </c>
      <c r="C15" s="63" t="s">
        <v>65</v>
      </c>
      <c r="D15" s="99">
        <f>Июл!E15</f>
        <v>3900.0650000000001</v>
      </c>
      <c r="E15" s="100">
        <v>4043.944</v>
      </c>
      <c r="F15" s="101">
        <f t="shared" si="9"/>
        <v>143.87899999999991</v>
      </c>
      <c r="G15" s="102">
        <v>1500</v>
      </c>
      <c r="H15" s="68">
        <f t="shared" si="18"/>
        <v>215818.49999999985</v>
      </c>
      <c r="I15" s="69">
        <f>SUM(I7:I14)</f>
        <v>5446</v>
      </c>
      <c r="J15" s="70">
        <f t="shared" si="10"/>
        <v>6.17</v>
      </c>
      <c r="K15" s="70">
        <f t="shared" si="11"/>
        <v>4.32</v>
      </c>
      <c r="L15" s="103">
        <f t="shared" ref="L15:L16" si="26">J15*(H15-I15)+I15*K15</f>
        <v>1321525.044999999</v>
      </c>
      <c r="M15" s="103"/>
      <c r="N15" s="72"/>
      <c r="O15" s="73"/>
      <c r="P15" s="68"/>
      <c r="Q15" s="16"/>
      <c r="R15" s="103"/>
      <c r="S15" s="104"/>
      <c r="T15" s="22"/>
      <c r="U15" s="23"/>
    </row>
    <row r="16" spans="1:21" x14ac:dyDescent="0.3">
      <c r="A16" s="76" t="s">
        <v>66</v>
      </c>
      <c r="B16" s="77"/>
      <c r="C16" s="78"/>
      <c r="D16" s="105">
        <f>Июл!E16</f>
        <v>0</v>
      </c>
      <c r="E16" s="106"/>
      <c r="F16" s="107"/>
      <c r="G16" s="108"/>
      <c r="H16" s="83"/>
      <c r="I16" s="84"/>
      <c r="J16" s="85">
        <f t="shared" si="10"/>
        <v>0</v>
      </c>
      <c r="K16" s="135">
        <f t="shared" si="11"/>
        <v>0</v>
      </c>
      <c r="L16" s="109">
        <f t="shared" si="26"/>
        <v>0</v>
      </c>
      <c r="M16" s="109"/>
      <c r="N16" s="87"/>
      <c r="O16" s="83"/>
      <c r="P16" s="83"/>
      <c r="Q16" s="88"/>
      <c r="R16" s="110"/>
      <c r="S16" s="111"/>
      <c r="T16" s="22"/>
      <c r="U16" s="23"/>
    </row>
    <row r="17" spans="1:21" x14ac:dyDescent="0.3">
      <c r="A17" s="20"/>
      <c r="B17" s="20"/>
      <c r="C17" s="20"/>
      <c r="D17" s="24"/>
      <c r="E17" s="24"/>
      <c r="F17" s="24"/>
      <c r="G17" s="112"/>
      <c r="H17" s="26"/>
      <c r="I17" s="26"/>
      <c r="J17" s="16"/>
      <c r="K17" s="16"/>
      <c r="L17" s="113"/>
      <c r="M17" s="113"/>
      <c r="N17" s="17"/>
      <c r="O17" s="16"/>
      <c r="P17" s="16"/>
      <c r="Q17" s="16"/>
      <c r="R17" s="16"/>
      <c r="S17" s="16"/>
      <c r="T17" s="22"/>
      <c r="U17" s="23"/>
    </row>
    <row r="18" spans="1:21" x14ac:dyDescent="0.3">
      <c r="A18" s="114"/>
      <c r="B18" s="114"/>
      <c r="C18" s="114"/>
      <c r="D18" s="115"/>
      <c r="E18" s="24"/>
      <c r="F18" s="24"/>
      <c r="G18" s="116" t="s">
        <v>67</v>
      </c>
      <c r="H18" s="26">
        <f>SUM(H7:H14)</f>
        <v>214816.59999999966</v>
      </c>
      <c r="I18" s="26"/>
      <c r="J18" s="20" t="s">
        <v>46</v>
      </c>
      <c r="K18" s="20"/>
      <c r="L18" s="16"/>
      <c r="M18" s="16"/>
      <c r="N18" s="17"/>
      <c r="O18" s="16"/>
      <c r="P18" s="16"/>
      <c r="Q18" s="16"/>
      <c r="R18" s="16"/>
      <c r="S18" s="16"/>
      <c r="T18" s="22"/>
      <c r="U18" s="23"/>
    </row>
    <row r="19" spans="1:21" x14ac:dyDescent="0.3">
      <c r="A19" s="117"/>
      <c r="B19" s="117"/>
      <c r="C19" s="117"/>
      <c r="D19" s="118"/>
      <c r="E19" s="24"/>
      <c r="F19" s="24"/>
      <c r="G19" s="116" t="s">
        <v>68</v>
      </c>
      <c r="H19" s="26">
        <f>IF(H15&gt;0,H15-H18,0)</f>
        <v>1001.9000000001979</v>
      </c>
      <c r="I19" s="26"/>
      <c r="J19" s="20" t="s">
        <v>46</v>
      </c>
      <c r="K19" s="20"/>
      <c r="L19" s="16"/>
      <c r="M19" s="16"/>
      <c r="N19" s="17"/>
      <c r="O19" s="26">
        <f>SUM(O7:O14)</f>
        <v>19295.938496218198</v>
      </c>
      <c r="P19" s="16">
        <f>SUM(P7:P14)</f>
        <v>1001.9000000001978</v>
      </c>
      <c r="Q19" s="16">
        <f>SUM(Q7:Q16)</f>
        <v>6181.7230000012205</v>
      </c>
      <c r="R19" s="119">
        <f>SUM(R7:R14)</f>
        <v>1321525.044999999</v>
      </c>
      <c r="S19" s="119"/>
      <c r="T19" s="120">
        <f>SUM(T7:T14)</f>
        <v>931166.90155331488</v>
      </c>
      <c r="U19" s="20"/>
    </row>
    <row r="20" spans="1:21" x14ac:dyDescent="0.3">
      <c r="A20" s="117"/>
      <c r="B20" s="117"/>
      <c r="C20" s="117"/>
      <c r="D20" s="118"/>
      <c r="E20" s="24"/>
      <c r="F20" s="24"/>
      <c r="G20" s="116" t="s">
        <v>69</v>
      </c>
      <c r="H20" s="17">
        <f>IF(H15&gt;0,H19/H15,0)</f>
        <v>4.6423267699488161E-3</v>
      </c>
      <c r="I20" s="17"/>
      <c r="J20" s="16"/>
      <c r="K20" s="16"/>
      <c r="L20" s="16"/>
      <c r="M20" s="16"/>
      <c r="N20" s="17"/>
      <c r="O20" s="16"/>
      <c r="P20" s="16"/>
      <c r="Q20" s="16"/>
      <c r="R20" s="16"/>
      <c r="S20" s="16"/>
      <c r="T20" s="22"/>
      <c r="U20" s="20"/>
    </row>
    <row r="21" spans="1:21" x14ac:dyDescent="0.3">
      <c r="A21" s="117"/>
      <c r="B21" s="117"/>
      <c r="C21" s="117"/>
      <c r="D21" s="118"/>
      <c r="E21" s="24"/>
      <c r="F21" s="24"/>
      <c r="G21" s="25"/>
      <c r="H21" s="16"/>
      <c r="I21" s="16"/>
      <c r="J21" s="16"/>
      <c r="K21" s="16"/>
      <c r="L21" s="16"/>
      <c r="M21" s="16"/>
      <c r="N21" s="17"/>
      <c r="O21" s="16"/>
      <c r="P21" s="16"/>
      <c r="Q21" s="16"/>
      <c r="R21" s="16"/>
      <c r="S21" s="16"/>
      <c r="T21" s="22"/>
      <c r="U21" s="20"/>
    </row>
    <row r="22" spans="1:21" x14ac:dyDescent="0.3">
      <c r="A22" s="117"/>
      <c r="B22" s="117"/>
      <c r="C22" s="117"/>
      <c r="D22" s="118"/>
      <c r="E22" s="24"/>
      <c r="F22" s="24"/>
      <c r="G22" s="25"/>
      <c r="H22" s="16"/>
      <c r="I22" s="16"/>
      <c r="J22" s="16"/>
      <c r="K22" s="16"/>
      <c r="L22" s="16"/>
      <c r="M22" s="16"/>
      <c r="N22" s="17"/>
      <c r="O22" s="16"/>
      <c r="P22" s="16"/>
      <c r="Q22" s="16"/>
      <c r="R22" s="121" t="s">
        <v>70</v>
      </c>
      <c r="S22" s="122" t="s">
        <v>71</v>
      </c>
      <c r="T22" s="122" t="s">
        <v>72</v>
      </c>
      <c r="U22" s="20"/>
    </row>
    <row r="23" spans="1:21" x14ac:dyDescent="0.3">
      <c r="A23" s="123"/>
      <c r="B23" s="123"/>
      <c r="C23" s="123"/>
      <c r="D23" s="124"/>
      <c r="E23" s="124"/>
      <c r="F23" s="124"/>
      <c r="G23" s="125" t="s">
        <v>73</v>
      </c>
      <c r="H23" s="119">
        <f>H11+H12+H13+H14</f>
        <v>124629.99999999956</v>
      </c>
      <c r="I23" s="119"/>
      <c r="J23" s="119"/>
      <c r="K23" s="119"/>
      <c r="L23" s="119"/>
      <c r="M23" s="119"/>
      <c r="N23" s="123"/>
      <c r="O23" s="126" t="s">
        <v>74</v>
      </c>
      <c r="P23" s="127">
        <f>66006+58624</f>
        <v>124630</v>
      </c>
      <c r="Q23" s="119"/>
      <c r="R23" s="75" t="s">
        <v>75</v>
      </c>
      <c r="S23" s="128"/>
      <c r="T23" s="129"/>
      <c r="U23" s="123"/>
    </row>
    <row r="24" spans="1:21" x14ac:dyDescent="0.3">
      <c r="A24" s="130"/>
      <c r="B24" s="130"/>
      <c r="C24" s="130"/>
      <c r="D24" s="124"/>
      <c r="E24" s="124"/>
      <c r="F24" s="124"/>
      <c r="G24" s="125" t="s">
        <v>76</v>
      </c>
      <c r="H24" s="119">
        <f>L11+L12+L13+L14</f>
        <v>758891.99999999732</v>
      </c>
      <c r="I24" s="119"/>
      <c r="J24" s="119"/>
      <c r="K24" s="119"/>
      <c r="L24" s="119"/>
      <c r="M24" s="119"/>
      <c r="N24" s="131"/>
      <c r="O24" s="126" t="s">
        <v>77</v>
      </c>
      <c r="P24" s="127">
        <v>758890.38</v>
      </c>
      <c r="Q24" s="119"/>
      <c r="R24" s="98">
        <f>M13</f>
        <v>351634.98000000056</v>
      </c>
      <c r="S24" s="132"/>
      <c r="T24" s="98">
        <f>IF(S24&gt;0,R24-S24,0)</f>
        <v>0</v>
      </c>
      <c r="U24" s="117"/>
    </row>
    <row r="25" spans="1:21" x14ac:dyDescent="0.3">
      <c r="A25" s="133"/>
      <c r="B25" s="133"/>
      <c r="C25" s="133"/>
      <c r="D25" s="24"/>
      <c r="E25" s="24"/>
      <c r="F25" s="24"/>
      <c r="G25" s="25"/>
      <c r="H25" s="16"/>
      <c r="I25" s="16"/>
      <c r="J25" s="16"/>
      <c r="K25" s="16"/>
      <c r="L25" s="16"/>
      <c r="M25" s="16" t="s">
        <v>118</v>
      </c>
      <c r="N25" s="17"/>
      <c r="O25" s="16"/>
      <c r="P25" s="16">
        <v>-1.62</v>
      </c>
      <c r="Q25" s="16"/>
      <c r="R25" s="104" t="s">
        <v>78</v>
      </c>
      <c r="S25" s="128"/>
      <c r="T25" s="134"/>
      <c r="U25" s="117"/>
    </row>
    <row r="26" spans="1:21" x14ac:dyDescent="0.3">
      <c r="A26" s="20"/>
      <c r="B26" s="20"/>
      <c r="C26" s="20"/>
      <c r="D26" s="24"/>
      <c r="E26" s="24"/>
      <c r="F26" s="24"/>
      <c r="G26" s="25"/>
      <c r="H26" s="26"/>
      <c r="I26" s="26"/>
      <c r="J26" s="16"/>
      <c r="K26" s="16"/>
      <c r="L26" s="16"/>
      <c r="M26" s="16"/>
      <c r="N26" s="17"/>
      <c r="O26" s="16"/>
      <c r="P26" s="16"/>
      <c r="Q26" s="16"/>
      <c r="R26" s="111">
        <f>M11+P25</f>
        <v>407255.39999999676</v>
      </c>
      <c r="S26" s="135"/>
      <c r="T26" s="111">
        <f>IF(S26&gt;0,R26-S26,0)</f>
        <v>0</v>
      </c>
      <c r="U26" s="117"/>
    </row>
    <row r="27" spans="1:21" x14ac:dyDescent="0.3">
      <c r="A27" s="20"/>
      <c r="B27" s="20"/>
      <c r="C27" s="20"/>
      <c r="D27" s="24" t="s">
        <v>79</v>
      </c>
      <c r="E27" s="24"/>
      <c r="F27" s="24"/>
      <c r="G27" s="25"/>
      <c r="H27" s="26"/>
      <c r="I27" s="26"/>
      <c r="J27" s="16"/>
      <c r="K27" s="16"/>
      <c r="L27" s="16"/>
      <c r="M27" s="16"/>
      <c r="N27" s="17"/>
      <c r="O27" s="16"/>
      <c r="P27" s="16"/>
      <c r="Q27" s="16"/>
      <c r="R27" s="104" t="s">
        <v>80</v>
      </c>
      <c r="S27" s="136"/>
      <c r="T27" s="134"/>
      <c r="U27" s="117"/>
    </row>
    <row r="28" spans="1:21" x14ac:dyDescent="0.3">
      <c r="A28" s="20"/>
      <c r="B28" s="20"/>
      <c r="C28" s="20"/>
      <c r="D28" s="24" t="s">
        <v>81</v>
      </c>
      <c r="E28" s="24"/>
      <c r="F28" s="24"/>
      <c r="G28" s="25"/>
      <c r="H28" s="26"/>
      <c r="I28" s="26"/>
      <c r="J28" s="16"/>
      <c r="K28" s="16"/>
      <c r="L28" s="16" t="s">
        <v>82</v>
      </c>
      <c r="M28" s="16"/>
      <c r="N28" s="17"/>
      <c r="O28" s="16"/>
      <c r="P28" s="16"/>
      <c r="Q28" s="16"/>
      <c r="R28" s="111">
        <f>R24+R26</f>
        <v>758890.37999999733</v>
      </c>
      <c r="S28" s="135"/>
      <c r="T28" s="111">
        <f>T24+T26</f>
        <v>0</v>
      </c>
      <c r="U28" s="117"/>
    </row>
  </sheetData>
  <mergeCells count="3">
    <mergeCell ref="B4:C4"/>
    <mergeCell ref="D4:E4"/>
    <mergeCell ref="D5:E5"/>
  </mergeCells>
  <pageMargins left="0.7" right="0.7" top="0.75" bottom="0.75" header="0.3" footer="0.3"/>
  <pageSetup paperSize="9" orientation="portrait" horizontalDpi="300" verticalDpi="0" copies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136A9-3ED6-429C-B91F-4616EB2C7B71}">
  <sheetPr>
    <tabColor rgb="FF00FF00"/>
  </sheetPr>
  <dimension ref="A1:U28"/>
  <sheetViews>
    <sheetView showZeros="0" zoomScaleNormal="100" workbookViewId="0">
      <selection activeCell="M17" sqref="M17"/>
    </sheetView>
  </sheetViews>
  <sheetFormatPr defaultRowHeight="14.4" x14ac:dyDescent="0.3"/>
  <cols>
    <col min="1" max="1" width="9.109375" customWidth="1"/>
    <col min="2" max="2" width="11.44140625" bestFit="1" customWidth="1"/>
    <col min="3" max="3" width="13.33203125" bestFit="1" customWidth="1"/>
    <col min="4" max="5" width="9.109375" customWidth="1"/>
    <col min="6" max="6" width="7.21875" bestFit="1" customWidth="1"/>
    <col min="7" max="7" width="6.5546875" customWidth="1"/>
    <col min="8" max="8" width="9.77734375" bestFit="1" customWidth="1"/>
    <col min="9" max="9" width="7.88671875" bestFit="1" customWidth="1"/>
    <col min="10" max="11" width="5.33203125" bestFit="1" customWidth="1"/>
    <col min="12" max="12" width="11.21875" customWidth="1"/>
    <col min="13" max="13" width="11.6640625" bestFit="1" customWidth="1"/>
    <col min="14" max="14" width="7.109375" bestFit="1" customWidth="1"/>
    <col min="15" max="15" width="7.88671875" customWidth="1"/>
    <col min="16" max="16" width="9.21875" bestFit="1" customWidth="1"/>
    <col min="17" max="17" width="8.77734375" bestFit="1" customWidth="1"/>
    <col min="18" max="18" width="12" bestFit="1" customWidth="1"/>
    <col min="19" max="19" width="10.5546875" bestFit="1" customWidth="1"/>
    <col min="20" max="20" width="10.109375" bestFit="1" customWidth="1"/>
    <col min="21" max="21" width="12.109375" bestFit="1" customWidth="1"/>
  </cols>
  <sheetData>
    <row r="1" spans="1:21" ht="15.6" x14ac:dyDescent="0.3">
      <c r="A1" s="1" t="s">
        <v>0</v>
      </c>
      <c r="B1" s="1"/>
      <c r="C1" s="1"/>
      <c r="D1" s="2"/>
      <c r="E1" s="2"/>
      <c r="F1" s="2"/>
      <c r="G1" s="1"/>
      <c r="H1" s="3"/>
      <c r="I1" s="3"/>
      <c r="J1" s="4"/>
      <c r="K1" s="4"/>
      <c r="L1" s="5"/>
      <c r="M1" s="5"/>
      <c r="N1" s="6"/>
      <c r="O1" s="7"/>
      <c r="P1" s="7"/>
      <c r="Q1" s="4"/>
      <c r="R1" s="4"/>
      <c r="S1" s="4"/>
      <c r="T1" s="8"/>
      <c r="U1" s="9"/>
    </row>
    <row r="2" spans="1:21" x14ac:dyDescent="0.3">
      <c r="A2" s="10" t="s">
        <v>1</v>
      </c>
      <c r="B2" s="11" t="s">
        <v>93</v>
      </c>
      <c r="C2" s="12" t="s">
        <v>3</v>
      </c>
      <c r="D2" s="13">
        <v>2022</v>
      </c>
      <c r="E2" s="14" t="s">
        <v>4</v>
      </c>
      <c r="F2" s="15">
        <v>26</v>
      </c>
      <c r="G2" s="16"/>
      <c r="H2" s="16"/>
      <c r="I2" s="16"/>
      <c r="J2" s="16"/>
      <c r="K2" s="16"/>
      <c r="L2" s="17"/>
      <c r="M2" s="16"/>
      <c r="N2" s="16"/>
      <c r="O2" s="18" t="s">
        <v>5</v>
      </c>
      <c r="P2" s="19">
        <v>31</v>
      </c>
      <c r="Q2" s="20"/>
      <c r="R2" s="20"/>
      <c r="S2" s="21"/>
      <c r="T2" s="22"/>
      <c r="U2" s="23"/>
    </row>
    <row r="3" spans="1:21" s="139" customFormat="1" ht="12" x14ac:dyDescent="0.25">
      <c r="A3" s="138" t="s">
        <v>85</v>
      </c>
      <c r="B3" s="20"/>
      <c r="C3" s="140">
        <f>Июл!C3</f>
        <v>6.17</v>
      </c>
      <c r="D3" s="24"/>
      <c r="E3" s="137" t="s">
        <v>86</v>
      </c>
      <c r="F3" s="24"/>
      <c r="G3" s="140">
        <f>Июл!G3</f>
        <v>4.32</v>
      </c>
      <c r="H3" s="26"/>
      <c r="I3" s="26"/>
      <c r="J3" s="16"/>
      <c r="K3" s="16"/>
      <c r="L3" s="16"/>
      <c r="M3" s="16"/>
      <c r="N3" s="17"/>
      <c r="O3" s="16"/>
      <c r="P3" s="16"/>
      <c r="Q3" s="16"/>
      <c r="R3" s="16"/>
      <c r="S3" s="16"/>
      <c r="T3" s="22"/>
      <c r="U3" s="23"/>
    </row>
    <row r="4" spans="1:21" x14ac:dyDescent="0.3">
      <c r="A4" s="27" t="s">
        <v>6</v>
      </c>
      <c r="B4" s="199" t="s">
        <v>7</v>
      </c>
      <c r="C4" s="200"/>
      <c r="D4" s="205" t="s">
        <v>8</v>
      </c>
      <c r="E4" s="206"/>
      <c r="F4" s="28" t="s">
        <v>9</v>
      </c>
      <c r="G4" s="29" t="s">
        <v>10</v>
      </c>
      <c r="H4" s="30" t="s">
        <v>11</v>
      </c>
      <c r="I4" s="30" t="s">
        <v>12</v>
      </c>
      <c r="J4" s="31" t="s">
        <v>13</v>
      </c>
      <c r="K4" s="32" t="s">
        <v>14</v>
      </c>
      <c r="L4" s="33" t="s">
        <v>15</v>
      </c>
      <c r="M4" s="33" t="s">
        <v>16</v>
      </c>
      <c r="N4" s="34" t="s">
        <v>17</v>
      </c>
      <c r="O4" s="35" t="s">
        <v>18</v>
      </c>
      <c r="P4" s="35" t="s">
        <v>19</v>
      </c>
      <c r="Q4" s="35" t="s">
        <v>15</v>
      </c>
      <c r="R4" s="36" t="s">
        <v>20</v>
      </c>
      <c r="S4" s="37" t="s">
        <v>21</v>
      </c>
      <c r="T4" s="38" t="s">
        <v>22</v>
      </c>
      <c r="U4" s="23" t="s">
        <v>23</v>
      </c>
    </row>
    <row r="5" spans="1:21" x14ac:dyDescent="0.3">
      <c r="A5" s="39"/>
      <c r="B5" s="27" t="s">
        <v>24</v>
      </c>
      <c r="C5" s="27" t="s">
        <v>25</v>
      </c>
      <c r="D5" s="207" t="s">
        <v>26</v>
      </c>
      <c r="E5" s="208"/>
      <c r="F5" s="40"/>
      <c r="G5" s="41" t="s">
        <v>27</v>
      </c>
      <c r="H5" s="39" t="s">
        <v>28</v>
      </c>
      <c r="I5" s="39" t="s">
        <v>29</v>
      </c>
      <c r="J5" s="42" t="s">
        <v>30</v>
      </c>
      <c r="K5" s="43" t="s">
        <v>31</v>
      </c>
      <c r="L5" s="44" t="s">
        <v>32</v>
      </c>
      <c r="M5" s="44" t="s">
        <v>33</v>
      </c>
      <c r="N5" s="45" t="s">
        <v>34</v>
      </c>
      <c r="O5" s="46" t="s">
        <v>35</v>
      </c>
      <c r="P5" s="46" t="s">
        <v>36</v>
      </c>
      <c r="Q5" s="46" t="s">
        <v>37</v>
      </c>
      <c r="R5" s="47" t="s">
        <v>38</v>
      </c>
      <c r="S5" s="48" t="s">
        <v>39</v>
      </c>
      <c r="T5" s="38" t="s">
        <v>40</v>
      </c>
      <c r="U5" s="23" t="s">
        <v>41</v>
      </c>
    </row>
    <row r="6" spans="1:21" x14ac:dyDescent="0.3">
      <c r="A6" s="49"/>
      <c r="B6" s="49" t="s">
        <v>42</v>
      </c>
      <c r="C6" s="49" t="s">
        <v>42</v>
      </c>
      <c r="D6" s="50" t="s">
        <v>43</v>
      </c>
      <c r="E6" s="51" t="s">
        <v>44</v>
      </c>
      <c r="F6" s="52"/>
      <c r="G6" s="53" t="s">
        <v>45</v>
      </c>
      <c r="H6" s="54" t="s">
        <v>46</v>
      </c>
      <c r="I6" s="54" t="s">
        <v>47</v>
      </c>
      <c r="J6" s="55" t="s">
        <v>46</v>
      </c>
      <c r="K6" s="56"/>
      <c r="L6" s="57" t="s">
        <v>48</v>
      </c>
      <c r="M6" s="57" t="s">
        <v>48</v>
      </c>
      <c r="N6" s="58"/>
      <c r="O6" s="59" t="s">
        <v>46</v>
      </c>
      <c r="P6" s="59" t="s">
        <v>46</v>
      </c>
      <c r="Q6" s="59" t="s">
        <v>48</v>
      </c>
      <c r="R6" s="60" t="s">
        <v>49</v>
      </c>
      <c r="S6" s="60" t="s">
        <v>49</v>
      </c>
      <c r="T6" s="38" t="s">
        <v>34</v>
      </c>
      <c r="U6" s="23" t="s">
        <v>50</v>
      </c>
    </row>
    <row r="7" spans="1:21" x14ac:dyDescent="0.3">
      <c r="A7" s="61" t="s">
        <v>51</v>
      </c>
      <c r="B7" s="62" t="s">
        <v>52</v>
      </c>
      <c r="C7" s="63" t="s">
        <v>53</v>
      </c>
      <c r="D7" s="64">
        <f>Авг!E7</f>
        <v>75979.342999999993</v>
      </c>
      <c r="E7" s="65">
        <v>75979.342999999993</v>
      </c>
      <c r="F7" s="66">
        <f t="shared" ref="F7:F8" si="0">IF(E7&gt;0,E7-D7,0)</f>
        <v>0</v>
      </c>
      <c r="G7" s="67">
        <v>60</v>
      </c>
      <c r="H7" s="68">
        <f t="shared" ref="H7:H8" si="1">F7*G7</f>
        <v>0</v>
      </c>
      <c r="I7" s="157"/>
      <c r="J7" s="70">
        <f>IF(G7&gt;0,$C$3,0)</f>
        <v>6.17</v>
      </c>
      <c r="K7" s="70">
        <f>IF(G7&gt;0,$G$3,0)</f>
        <v>4.32</v>
      </c>
      <c r="L7" s="71">
        <f t="shared" ref="L7:L8" si="2">J7*(H7-I7)+I7*K7</f>
        <v>0</v>
      </c>
      <c r="M7" s="71">
        <f>L7+L8</f>
        <v>498326.22</v>
      </c>
      <c r="N7" s="72">
        <v>8.4239417043940584E-2</v>
      </c>
      <c r="O7" s="73">
        <f>H7*N7</f>
        <v>0</v>
      </c>
      <c r="P7" s="68">
        <f t="shared" ref="P7:P8" si="3">IF($O$19&gt;0,O7*$H$19/$O$19,0)</f>
        <v>0</v>
      </c>
      <c r="Q7" s="16">
        <f>J7*P7</f>
        <v>0</v>
      </c>
      <c r="R7" s="74">
        <f t="shared" ref="R7:R8" si="4">IF(P7&gt;0,L7+Q7,L7)</f>
        <v>0</v>
      </c>
      <c r="S7" s="91">
        <f t="shared" ref="S7" si="5">R7+R8</f>
        <v>502637.82298989483</v>
      </c>
      <c r="T7" s="22">
        <f>L7+Q7</f>
        <v>0</v>
      </c>
      <c r="U7" s="23">
        <f t="shared" ref="U7:U14" si="6">IF($P$2&gt;0,H7/$P$2,0)</f>
        <v>0</v>
      </c>
    </row>
    <row r="8" spans="1:21" x14ac:dyDescent="0.3">
      <c r="A8" s="76"/>
      <c r="B8" s="77"/>
      <c r="C8" s="78"/>
      <c r="D8" s="79">
        <f>Авг!E8</f>
        <v>1603.49</v>
      </c>
      <c r="E8" s="80">
        <v>2276.54</v>
      </c>
      <c r="F8" s="81">
        <f t="shared" si="0"/>
        <v>673.05</v>
      </c>
      <c r="G8" s="82">
        <f>600/5</f>
        <v>120</v>
      </c>
      <c r="H8" s="83">
        <f t="shared" si="1"/>
        <v>80766</v>
      </c>
      <c r="I8" s="158"/>
      <c r="J8" s="85">
        <f t="shared" ref="J8" si="7">IF(G8&gt;0,$C$3,0)</f>
        <v>6.17</v>
      </c>
      <c r="K8" s="135">
        <f t="shared" ref="K8" si="8">IF(G8&gt;0,$G$3,0)</f>
        <v>4.32</v>
      </c>
      <c r="L8" s="86">
        <f t="shared" si="2"/>
        <v>498326.22</v>
      </c>
      <c r="M8" s="86"/>
      <c r="N8" s="87">
        <v>8.4239417043940584E-2</v>
      </c>
      <c r="O8" s="83">
        <f>H8*N8</f>
        <v>6803.6807569709053</v>
      </c>
      <c r="P8" s="83">
        <f t="shared" si="3"/>
        <v>698.80113288409518</v>
      </c>
      <c r="Q8" s="88">
        <f>J8*P8</f>
        <v>4311.6029898948673</v>
      </c>
      <c r="R8" s="89">
        <f t="shared" si="4"/>
        <v>502637.82298989483</v>
      </c>
      <c r="S8" s="90"/>
      <c r="T8" s="22"/>
      <c r="U8" s="23">
        <f t="shared" si="6"/>
        <v>2605.3548387096776</v>
      </c>
    </row>
    <row r="9" spans="1:21" x14ac:dyDescent="0.3">
      <c r="A9" s="61" t="s">
        <v>54</v>
      </c>
      <c r="B9" s="62" t="s">
        <v>55</v>
      </c>
      <c r="C9" s="63" t="s">
        <v>56</v>
      </c>
      <c r="D9" s="64">
        <f>Авг!E9</f>
        <v>18310.7</v>
      </c>
      <c r="E9" s="65">
        <v>18921.400000000001</v>
      </c>
      <c r="F9" s="66">
        <f t="shared" ref="F9:F15" si="9">IF(E9&gt;0,E9-D9,0)</f>
        <v>610.70000000000073</v>
      </c>
      <c r="G9" s="67">
        <v>50</v>
      </c>
      <c r="H9" s="68">
        <f>F9*G9+F10*G10</f>
        <v>30535.000000000036</v>
      </c>
      <c r="I9" s="69"/>
      <c r="J9" s="70">
        <f t="shared" ref="J9:J16" si="10">IF(G9&gt;0,$C$3,0)</f>
        <v>6.17</v>
      </c>
      <c r="K9" s="70">
        <f t="shared" ref="K9:K16" si="11">IF(G9&gt;0,$G$3,0)</f>
        <v>4.32</v>
      </c>
      <c r="L9" s="71">
        <f t="shared" ref="L9:L13" si="12">J9*(H9-I9)+I9*K9</f>
        <v>188400.95000000022</v>
      </c>
      <c r="M9" s="71">
        <f t="shared" ref="M9" si="13">L9+L10</f>
        <v>188400.95000000022</v>
      </c>
      <c r="N9" s="72">
        <v>8.4239417043940584E-2</v>
      </c>
      <c r="O9" s="73">
        <f>H9*N9</f>
        <v>2572.2505994367289</v>
      </c>
      <c r="P9" s="68">
        <f t="shared" ref="P9" si="14">IF($O$19&gt;0,O9*$H$19/$O$19,0)</f>
        <v>264.19399985904806</v>
      </c>
      <c r="Q9" s="16">
        <f>J9*P9</f>
        <v>1630.0769791303264</v>
      </c>
      <c r="R9" s="74">
        <f t="shared" ref="R9" si="15">IF(P9&gt;0,L9+Q9,L9)</f>
        <v>190031.02697913055</v>
      </c>
      <c r="S9" s="91">
        <f t="shared" ref="S9" si="16">R9+R10</f>
        <v>190031.02697913055</v>
      </c>
      <c r="T9" s="22">
        <f t="shared" ref="T9" si="17">L9+Q9</f>
        <v>190031.02697913055</v>
      </c>
      <c r="U9" s="23">
        <f t="shared" si="6"/>
        <v>985.00000000000114</v>
      </c>
    </row>
    <row r="10" spans="1:21" x14ac:dyDescent="0.3">
      <c r="A10" s="92" t="s">
        <v>57</v>
      </c>
      <c r="B10" s="77"/>
      <c r="C10" s="78"/>
      <c r="D10" s="79">
        <f>Авг!E10</f>
        <v>0</v>
      </c>
      <c r="E10" s="80"/>
      <c r="F10" s="93"/>
      <c r="G10" s="82"/>
      <c r="H10" s="83"/>
      <c r="I10" s="84"/>
      <c r="J10" s="85">
        <f t="shared" si="10"/>
        <v>0</v>
      </c>
      <c r="K10" s="135">
        <f t="shared" si="11"/>
        <v>0</v>
      </c>
      <c r="L10" s="86">
        <f t="shared" si="12"/>
        <v>0</v>
      </c>
      <c r="M10" s="86"/>
      <c r="N10" s="87"/>
      <c r="O10" s="83"/>
      <c r="P10" s="83"/>
      <c r="Q10" s="88"/>
      <c r="R10" s="89"/>
      <c r="S10" s="90"/>
      <c r="T10" s="22"/>
      <c r="U10" s="23">
        <f t="shared" si="6"/>
        <v>0</v>
      </c>
    </row>
    <row r="11" spans="1:21" x14ac:dyDescent="0.3">
      <c r="A11" s="94" t="s">
        <v>58</v>
      </c>
      <c r="B11" s="62" t="s">
        <v>55</v>
      </c>
      <c r="C11" s="63" t="s">
        <v>59</v>
      </c>
      <c r="D11" s="64">
        <f>Авг!E11</f>
        <v>90887.2</v>
      </c>
      <c r="E11" s="95">
        <v>92062.399999999994</v>
      </c>
      <c r="F11" s="66">
        <f t="shared" si="9"/>
        <v>1175.1999999999971</v>
      </c>
      <c r="G11" s="67">
        <v>60</v>
      </c>
      <c r="H11" s="68">
        <f t="shared" ref="H11:H15" si="18">F11*G11</f>
        <v>70511.999999999825</v>
      </c>
      <c r="I11" s="69"/>
      <c r="J11" s="70">
        <f t="shared" si="10"/>
        <v>6.17</v>
      </c>
      <c r="K11" s="70">
        <f t="shared" si="11"/>
        <v>4.32</v>
      </c>
      <c r="L11" s="71">
        <f t="shared" si="12"/>
        <v>435059.03999999893</v>
      </c>
      <c r="M11" s="71">
        <f t="shared" ref="M11" si="19">L11+L12</f>
        <v>435059.03999999893</v>
      </c>
      <c r="N11" s="72">
        <v>9.3867222073683532E-2</v>
      </c>
      <c r="O11" s="73">
        <f>H11*N11</f>
        <v>6618.7655628595567</v>
      </c>
      <c r="P11" s="68">
        <f t="shared" ref="P11:P14" si="20">IF($O$19&gt;0,O11*$H$19/$O$19,0)</f>
        <v>679.80862695264068</v>
      </c>
      <c r="Q11" s="16">
        <f>J11*P11</f>
        <v>4194.4192282977929</v>
      </c>
      <c r="R11" s="74">
        <f t="shared" ref="R11:R14" si="21">IF(P11&gt;0,L11+Q11,L11)</f>
        <v>439253.45922829671</v>
      </c>
      <c r="S11" s="91">
        <f t="shared" ref="S11" si="22">R11+R12</f>
        <v>439253.45922829671</v>
      </c>
      <c r="T11" s="22">
        <f t="shared" ref="T11:T14" si="23">L11+Q11</f>
        <v>439253.45922829671</v>
      </c>
      <c r="U11" s="23">
        <f t="shared" si="6"/>
        <v>2274.5806451612848</v>
      </c>
    </row>
    <row r="12" spans="1:21" x14ac:dyDescent="0.3">
      <c r="A12" s="76"/>
      <c r="B12" s="77" t="s">
        <v>55</v>
      </c>
      <c r="C12" s="78" t="s">
        <v>60</v>
      </c>
      <c r="D12" s="79">
        <f>Авг!E12</f>
        <v>3</v>
      </c>
      <c r="E12" s="80">
        <v>3</v>
      </c>
      <c r="F12" s="81">
        <f t="shared" si="9"/>
        <v>0</v>
      </c>
      <c r="G12" s="82">
        <f>400/5</f>
        <v>80</v>
      </c>
      <c r="H12" s="83">
        <f t="shared" si="18"/>
        <v>0</v>
      </c>
      <c r="I12" s="84"/>
      <c r="J12" s="85">
        <f t="shared" si="10"/>
        <v>6.17</v>
      </c>
      <c r="K12" s="135">
        <f t="shared" si="11"/>
        <v>4.32</v>
      </c>
      <c r="L12" s="86">
        <f t="shared" si="12"/>
        <v>0</v>
      </c>
      <c r="M12" s="86"/>
      <c r="N12" s="87">
        <v>9.3867222073683532E-2</v>
      </c>
      <c r="O12" s="83">
        <f>H12*N12</f>
        <v>0</v>
      </c>
      <c r="P12" s="83">
        <f t="shared" si="20"/>
        <v>0</v>
      </c>
      <c r="Q12" s="88">
        <f>J12*P12</f>
        <v>0</v>
      </c>
      <c r="R12" s="89">
        <f t="shared" si="21"/>
        <v>0</v>
      </c>
      <c r="S12" s="90"/>
      <c r="T12" s="22">
        <f t="shared" si="23"/>
        <v>0</v>
      </c>
      <c r="U12" s="23">
        <f t="shared" si="6"/>
        <v>0</v>
      </c>
    </row>
    <row r="13" spans="1:21" x14ac:dyDescent="0.3">
      <c r="A13" s="94" t="s">
        <v>61</v>
      </c>
      <c r="B13" s="62" t="s">
        <v>55</v>
      </c>
      <c r="C13" s="63" t="s">
        <v>62</v>
      </c>
      <c r="D13" s="64">
        <f>Авг!E13</f>
        <v>7770.7</v>
      </c>
      <c r="E13" s="95">
        <v>7770.7</v>
      </c>
      <c r="F13" s="66">
        <f t="shared" si="9"/>
        <v>0</v>
      </c>
      <c r="G13" s="67">
        <v>40</v>
      </c>
      <c r="H13" s="68">
        <f t="shared" si="18"/>
        <v>0</v>
      </c>
      <c r="I13" s="96"/>
      <c r="J13" s="70">
        <f t="shared" si="10"/>
        <v>6.17</v>
      </c>
      <c r="K13" s="70">
        <f t="shared" si="11"/>
        <v>4.32</v>
      </c>
      <c r="L13" s="71">
        <f t="shared" si="12"/>
        <v>0</v>
      </c>
      <c r="M13" s="71">
        <f t="shared" ref="M13" si="24">L13+L14</f>
        <v>369493.18999999983</v>
      </c>
      <c r="N13" s="72">
        <v>9.3867222073683532E-2</v>
      </c>
      <c r="O13" s="73">
        <f>H13*N13</f>
        <v>0</v>
      </c>
      <c r="P13" s="68">
        <f t="shared" si="20"/>
        <v>0</v>
      </c>
      <c r="Q13" s="16">
        <f>J13*P13</f>
        <v>0</v>
      </c>
      <c r="R13" s="74">
        <f t="shared" si="21"/>
        <v>0</v>
      </c>
      <c r="S13" s="91">
        <f t="shared" ref="S13" si="25">R13+R14</f>
        <v>373159.38080267812</v>
      </c>
      <c r="T13" s="22">
        <f t="shared" si="23"/>
        <v>0</v>
      </c>
      <c r="U13" s="23">
        <f t="shared" si="6"/>
        <v>0</v>
      </c>
    </row>
    <row r="14" spans="1:21" x14ac:dyDescent="0.3">
      <c r="A14" s="76"/>
      <c r="B14" s="77" t="s">
        <v>55</v>
      </c>
      <c r="C14" s="78" t="s">
        <v>63</v>
      </c>
      <c r="D14" s="79">
        <f>Авг!E14</f>
        <v>10318.1</v>
      </c>
      <c r="E14" s="80">
        <v>11088.5</v>
      </c>
      <c r="F14" s="81">
        <f t="shared" si="9"/>
        <v>770.39999999999964</v>
      </c>
      <c r="G14" s="82">
        <f>400/5</f>
        <v>80</v>
      </c>
      <c r="H14" s="83">
        <f t="shared" si="18"/>
        <v>61631.999999999971</v>
      </c>
      <c r="I14" s="84">
        <v>5825</v>
      </c>
      <c r="J14" s="85">
        <f t="shared" si="10"/>
        <v>6.17</v>
      </c>
      <c r="K14" s="135">
        <f t="shared" si="11"/>
        <v>4.32</v>
      </c>
      <c r="L14" s="86">
        <f>J14*(H14-I14)+I14*K14</f>
        <v>369493.18999999983</v>
      </c>
      <c r="M14" s="86"/>
      <c r="N14" s="87">
        <v>9.3867222073683532E-2</v>
      </c>
      <c r="O14" s="83">
        <f>H14*N14</f>
        <v>5785.2246308452604</v>
      </c>
      <c r="P14" s="83">
        <f t="shared" si="20"/>
        <v>594.19624030441958</v>
      </c>
      <c r="Q14" s="88">
        <f>J14*P14</f>
        <v>3666.1908026782689</v>
      </c>
      <c r="R14" s="89">
        <f t="shared" si="21"/>
        <v>373159.38080267812</v>
      </c>
      <c r="S14" s="98"/>
      <c r="T14" s="22">
        <f t="shared" si="23"/>
        <v>373159.38080267812</v>
      </c>
      <c r="U14" s="23">
        <f t="shared" si="6"/>
        <v>1988.1290322580635</v>
      </c>
    </row>
    <row r="15" spans="1:21" x14ac:dyDescent="0.3">
      <c r="A15" s="94" t="s">
        <v>64</v>
      </c>
      <c r="B15" s="62" t="s">
        <v>52</v>
      </c>
      <c r="C15" s="63" t="s">
        <v>65</v>
      </c>
      <c r="D15" s="99">
        <f>Авг!E15</f>
        <v>4043.944</v>
      </c>
      <c r="E15" s="100">
        <v>4207.732</v>
      </c>
      <c r="F15" s="101">
        <f t="shared" si="9"/>
        <v>163.78800000000001</v>
      </c>
      <c r="G15" s="102">
        <v>1500</v>
      </c>
      <c r="H15" s="68">
        <f t="shared" si="18"/>
        <v>245682.00000000003</v>
      </c>
      <c r="I15" s="69">
        <f>SUM(I7:I14)</f>
        <v>5825</v>
      </c>
      <c r="J15" s="70">
        <f t="shared" si="10"/>
        <v>6.17</v>
      </c>
      <c r="K15" s="70">
        <f t="shared" si="11"/>
        <v>4.32</v>
      </c>
      <c r="L15" s="103">
        <f t="shared" ref="L15:L16" si="26">J15*(H15-I15)+I15*K15</f>
        <v>1505081.6900000002</v>
      </c>
      <c r="M15" s="103"/>
      <c r="N15" s="72"/>
      <c r="O15" s="73"/>
      <c r="P15" s="68"/>
      <c r="Q15" s="16"/>
      <c r="R15" s="103"/>
      <c r="S15" s="104"/>
      <c r="T15" s="22"/>
      <c r="U15" s="23"/>
    </row>
    <row r="16" spans="1:21" x14ac:dyDescent="0.3">
      <c r="A16" s="76" t="s">
        <v>66</v>
      </c>
      <c r="B16" s="77"/>
      <c r="C16" s="78"/>
      <c r="D16" s="105">
        <f>Авг!E16</f>
        <v>0</v>
      </c>
      <c r="E16" s="106"/>
      <c r="F16" s="107"/>
      <c r="G16" s="108"/>
      <c r="H16" s="83"/>
      <c r="I16" s="84"/>
      <c r="J16" s="85">
        <f t="shared" si="10"/>
        <v>0</v>
      </c>
      <c r="K16" s="135">
        <f t="shared" si="11"/>
        <v>0</v>
      </c>
      <c r="L16" s="109">
        <f t="shared" si="26"/>
        <v>0</v>
      </c>
      <c r="M16" s="109"/>
      <c r="N16" s="87"/>
      <c r="O16" s="83"/>
      <c r="P16" s="83"/>
      <c r="Q16" s="88"/>
      <c r="R16" s="110"/>
      <c r="S16" s="111"/>
      <c r="T16" s="22"/>
      <c r="U16" s="23"/>
    </row>
    <row r="17" spans="1:21" x14ac:dyDescent="0.3">
      <c r="A17" s="20"/>
      <c r="B17" s="20"/>
      <c r="C17" s="20"/>
      <c r="D17" s="24"/>
      <c r="E17" s="24"/>
      <c r="F17" s="24"/>
      <c r="G17" s="112"/>
      <c r="H17" s="26"/>
      <c r="I17" s="26"/>
      <c r="J17" s="16"/>
      <c r="K17" s="16"/>
      <c r="L17" s="113"/>
      <c r="M17" s="113"/>
      <c r="N17" s="17"/>
      <c r="O17" s="16"/>
      <c r="P17" s="16"/>
      <c r="Q17" s="16"/>
      <c r="R17" s="16"/>
      <c r="S17" s="16"/>
      <c r="T17" s="22"/>
      <c r="U17" s="23"/>
    </row>
    <row r="18" spans="1:21" x14ac:dyDescent="0.3">
      <c r="A18" s="114"/>
      <c r="B18" s="114"/>
      <c r="C18" s="114"/>
      <c r="D18" s="115"/>
      <c r="E18" s="24"/>
      <c r="F18" s="24"/>
      <c r="G18" s="116" t="s">
        <v>67</v>
      </c>
      <c r="H18" s="26">
        <f>SUM(H7:H14)</f>
        <v>243444.99999999983</v>
      </c>
      <c r="I18" s="26"/>
      <c r="J18" s="20" t="s">
        <v>46</v>
      </c>
      <c r="K18" s="20"/>
      <c r="L18" s="16"/>
      <c r="M18" s="16"/>
      <c r="N18" s="17"/>
      <c r="O18" s="16"/>
      <c r="P18" s="16"/>
      <c r="Q18" s="16"/>
      <c r="R18" s="16"/>
      <c r="S18" s="16"/>
      <c r="T18" s="22"/>
      <c r="U18" s="23"/>
    </row>
    <row r="19" spans="1:21" x14ac:dyDescent="0.3">
      <c r="A19" s="117"/>
      <c r="B19" s="117"/>
      <c r="C19" s="117"/>
      <c r="D19" s="118"/>
      <c r="E19" s="24"/>
      <c r="F19" s="24"/>
      <c r="G19" s="116" t="s">
        <v>68</v>
      </c>
      <c r="H19" s="26">
        <f>IF(H15&gt;0,H15-H18,0)</f>
        <v>2237.0000000002037</v>
      </c>
      <c r="I19" s="26"/>
      <c r="J19" s="20" t="s">
        <v>46</v>
      </c>
      <c r="K19" s="20"/>
      <c r="L19" s="16"/>
      <c r="M19" s="16"/>
      <c r="N19" s="17"/>
      <c r="O19" s="26">
        <f>SUM(O7:O14)</f>
        <v>21779.921550112453</v>
      </c>
      <c r="P19" s="16">
        <f>SUM(P7:P14)</f>
        <v>2237.0000000002033</v>
      </c>
      <c r="Q19" s="16">
        <f>SUM(Q7:Q16)</f>
        <v>13802.290000001256</v>
      </c>
      <c r="R19" s="119">
        <f>SUM(R7:R14)</f>
        <v>1505081.6900000002</v>
      </c>
      <c r="S19" s="119"/>
      <c r="T19" s="120">
        <f>SUM(T7:T14)</f>
        <v>1002443.8670101054</v>
      </c>
      <c r="U19" s="20"/>
    </row>
    <row r="20" spans="1:21" x14ac:dyDescent="0.3">
      <c r="A20" s="117"/>
      <c r="B20" s="117"/>
      <c r="C20" s="117"/>
      <c r="D20" s="118"/>
      <c r="E20" s="24"/>
      <c r="F20" s="24"/>
      <c r="G20" s="116" t="s">
        <v>69</v>
      </c>
      <c r="H20" s="17">
        <f>IF(H15&gt;0,H19/H15,0)</f>
        <v>9.1052661570656512E-3</v>
      </c>
      <c r="I20" s="17"/>
      <c r="J20" s="16"/>
      <c r="K20" s="16"/>
      <c r="L20" s="16"/>
      <c r="M20" s="16"/>
      <c r="N20" s="17"/>
      <c r="O20" s="16"/>
      <c r="P20" s="16"/>
      <c r="Q20" s="16"/>
      <c r="R20" s="16"/>
      <c r="S20" s="16"/>
      <c r="T20" s="22"/>
      <c r="U20" s="20"/>
    </row>
    <row r="21" spans="1:21" x14ac:dyDescent="0.3">
      <c r="A21" s="117"/>
      <c r="B21" s="117"/>
      <c r="C21" s="117"/>
      <c r="D21" s="118"/>
      <c r="E21" s="24"/>
      <c r="F21" s="24"/>
      <c r="G21" s="25"/>
      <c r="H21" s="16"/>
      <c r="I21" s="16"/>
      <c r="J21" s="16"/>
      <c r="K21" s="16"/>
      <c r="L21" s="16"/>
      <c r="M21" s="16"/>
      <c r="N21" s="17"/>
      <c r="O21" s="16"/>
      <c r="P21" s="16"/>
      <c r="Q21" s="16"/>
      <c r="R21" s="16"/>
      <c r="S21" s="16"/>
      <c r="T21" s="22"/>
      <c r="U21" s="20"/>
    </row>
    <row r="22" spans="1:21" x14ac:dyDescent="0.3">
      <c r="A22" s="117"/>
      <c r="B22" s="117"/>
      <c r="C22" s="117"/>
      <c r="D22" s="118"/>
      <c r="E22" s="24"/>
      <c r="F22" s="24"/>
      <c r="G22" s="25"/>
      <c r="H22" s="16"/>
      <c r="I22" s="16"/>
      <c r="J22" s="16"/>
      <c r="K22" s="16"/>
      <c r="L22" s="16"/>
      <c r="M22" s="16"/>
      <c r="N22" s="17"/>
      <c r="O22" s="16"/>
      <c r="P22" s="16"/>
      <c r="Q22" s="16"/>
      <c r="R22" s="121" t="s">
        <v>70</v>
      </c>
      <c r="S22" s="122" t="s">
        <v>71</v>
      </c>
      <c r="T22" s="122" t="s">
        <v>72</v>
      </c>
      <c r="U22" s="20"/>
    </row>
    <row r="23" spans="1:21" x14ac:dyDescent="0.3">
      <c r="A23" s="123"/>
      <c r="B23" s="123"/>
      <c r="C23" s="123"/>
      <c r="D23" s="124"/>
      <c r="E23" s="124"/>
      <c r="F23" s="124"/>
      <c r="G23" s="125" t="s">
        <v>73</v>
      </c>
      <c r="H23" s="119">
        <f>H11+H12+H13+H14</f>
        <v>132143.9999999998</v>
      </c>
      <c r="I23" s="119"/>
      <c r="J23" s="119"/>
      <c r="K23" s="119"/>
      <c r="L23" s="119"/>
      <c r="M23" s="119"/>
      <c r="N23" s="123"/>
      <c r="O23" s="126" t="s">
        <v>74</v>
      </c>
      <c r="P23" s="127"/>
      <c r="Q23" s="119"/>
      <c r="R23" s="75" t="s">
        <v>75</v>
      </c>
      <c r="S23" s="128"/>
      <c r="T23" s="129"/>
      <c r="U23" s="123"/>
    </row>
    <row r="24" spans="1:21" x14ac:dyDescent="0.3">
      <c r="A24" s="130"/>
      <c r="B24" s="130"/>
      <c r="C24" s="130"/>
      <c r="D24" s="124"/>
      <c r="E24" s="124"/>
      <c r="F24" s="124"/>
      <c r="G24" s="125" t="s">
        <v>76</v>
      </c>
      <c r="H24" s="119">
        <f>L11+L12+L13+L14</f>
        <v>804552.22999999882</v>
      </c>
      <c r="I24" s="119"/>
      <c r="J24" s="119"/>
      <c r="K24" s="119"/>
      <c r="L24" s="119"/>
      <c r="M24" s="119"/>
      <c r="N24" s="131"/>
      <c r="O24" s="126" t="s">
        <v>77</v>
      </c>
      <c r="P24" s="127"/>
      <c r="Q24" s="119"/>
      <c r="R24" s="98">
        <f>M13</f>
        <v>369493.18999999983</v>
      </c>
      <c r="S24" s="132"/>
      <c r="T24" s="98">
        <f>IF(S24&gt;0,R24-S24,0)</f>
        <v>0</v>
      </c>
      <c r="U24" s="117"/>
    </row>
    <row r="25" spans="1:21" x14ac:dyDescent="0.3">
      <c r="A25" s="133"/>
      <c r="B25" s="133"/>
      <c r="C25" s="133"/>
      <c r="D25" s="24"/>
      <c r="E25" s="24"/>
      <c r="F25" s="24"/>
      <c r="G25" s="25"/>
      <c r="H25" s="16"/>
      <c r="I25" s="16"/>
      <c r="J25" s="16"/>
      <c r="K25" s="16"/>
      <c r="L25" s="16"/>
      <c r="M25" s="16"/>
      <c r="N25" s="17"/>
      <c r="O25" s="16"/>
      <c r="P25" s="16"/>
      <c r="Q25" s="16"/>
      <c r="R25" s="104" t="s">
        <v>78</v>
      </c>
      <c r="S25" s="128"/>
      <c r="T25" s="134"/>
      <c r="U25" s="117"/>
    </row>
    <row r="26" spans="1:21" x14ac:dyDescent="0.3">
      <c r="A26" s="20"/>
      <c r="B26" s="20"/>
      <c r="C26" s="20"/>
      <c r="D26" s="24"/>
      <c r="E26" s="24"/>
      <c r="F26" s="24"/>
      <c r="G26" s="25"/>
      <c r="H26" s="26"/>
      <c r="I26" s="26"/>
      <c r="J26" s="16"/>
      <c r="K26" s="16"/>
      <c r="L26" s="16"/>
      <c r="M26" s="16"/>
      <c r="N26" s="17"/>
      <c r="O26" s="16"/>
      <c r="P26" s="16"/>
      <c r="Q26" s="16"/>
      <c r="R26" s="111">
        <f>M11</f>
        <v>435059.03999999893</v>
      </c>
      <c r="S26" s="135"/>
      <c r="T26" s="111">
        <f>IF(S26&gt;0,R26-S26,0)</f>
        <v>0</v>
      </c>
      <c r="U26" s="117"/>
    </row>
    <row r="27" spans="1:21" x14ac:dyDescent="0.3">
      <c r="A27" s="20"/>
      <c r="B27" s="20"/>
      <c r="C27" s="20"/>
      <c r="D27" s="24" t="s">
        <v>79</v>
      </c>
      <c r="E27" s="24"/>
      <c r="F27" s="24"/>
      <c r="G27" s="25"/>
      <c r="H27" s="26"/>
      <c r="I27" s="26"/>
      <c r="J27" s="16"/>
      <c r="K27" s="16"/>
      <c r="L27" s="16"/>
      <c r="M27" s="16"/>
      <c r="N27" s="17"/>
      <c r="O27" s="16"/>
      <c r="P27" s="16"/>
      <c r="Q27" s="16"/>
      <c r="R27" s="104" t="s">
        <v>80</v>
      </c>
      <c r="S27" s="136"/>
      <c r="T27" s="134"/>
      <c r="U27" s="117"/>
    </row>
    <row r="28" spans="1:21" x14ac:dyDescent="0.3">
      <c r="A28" s="20"/>
      <c r="B28" s="20"/>
      <c r="C28" s="20"/>
      <c r="D28" s="24" t="s">
        <v>81</v>
      </c>
      <c r="E28" s="24"/>
      <c r="F28" s="24"/>
      <c r="G28" s="25"/>
      <c r="H28" s="26"/>
      <c r="I28" s="26"/>
      <c r="J28" s="16"/>
      <c r="K28" s="16"/>
      <c r="L28" s="16" t="s">
        <v>82</v>
      </c>
      <c r="M28" s="16"/>
      <c r="N28" s="17"/>
      <c r="O28" s="16"/>
      <c r="P28" s="16"/>
      <c r="Q28" s="16"/>
      <c r="R28" s="111">
        <f>R24+R26</f>
        <v>804552.22999999882</v>
      </c>
      <c r="S28" s="135"/>
      <c r="T28" s="111">
        <f>T24+T26</f>
        <v>0</v>
      </c>
      <c r="U28" s="117"/>
    </row>
  </sheetData>
  <mergeCells count="3">
    <mergeCell ref="B4:C4"/>
    <mergeCell ref="D4:E4"/>
    <mergeCell ref="D5:E5"/>
  </mergeCells>
  <pageMargins left="0.51181102362204722" right="0" top="0.74803149606299213" bottom="0.74803149606299213" header="0.31496062992125984" footer="0.31496062992125984"/>
  <pageSetup paperSize="9" scale="81" orientation="landscape" r:id="rId1"/>
  <colBreaks count="1" manualBreakCount="1">
    <brk id="1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687CD-0446-4774-9A86-345022C35F1F}">
  <sheetPr>
    <tabColor rgb="FF00FF00"/>
  </sheetPr>
  <dimension ref="A1:U28"/>
  <sheetViews>
    <sheetView showZeros="0" workbookViewId="0">
      <pane xSplit="18" ySplit="3" topLeftCell="S4" activePane="bottomRight" state="frozen"/>
      <selection pane="topRight" activeCell="S1" sqref="S1"/>
      <selection pane="bottomLeft" activeCell="A4" sqref="A4"/>
      <selection pane="bottomRight" activeCell="R24" sqref="R24"/>
    </sheetView>
  </sheetViews>
  <sheetFormatPr defaultRowHeight="14.4" x14ac:dyDescent="0.3"/>
  <cols>
    <col min="1" max="1" width="9.109375" customWidth="1"/>
    <col min="2" max="2" width="11.44140625" bestFit="1" customWidth="1"/>
    <col min="3" max="3" width="13.33203125" bestFit="1" customWidth="1"/>
    <col min="4" max="5" width="9.109375" customWidth="1"/>
    <col min="6" max="6" width="7.21875" bestFit="1" customWidth="1"/>
    <col min="7" max="7" width="6.5546875" customWidth="1"/>
    <col min="8" max="8" width="9.21875" bestFit="1" customWidth="1"/>
    <col min="9" max="9" width="7.88671875" bestFit="1" customWidth="1"/>
    <col min="10" max="11" width="5.33203125" bestFit="1" customWidth="1"/>
    <col min="12" max="12" width="11.21875" customWidth="1"/>
    <col min="13" max="13" width="11.6640625" bestFit="1" customWidth="1"/>
    <col min="14" max="14" width="6.44140625" bestFit="1" customWidth="1"/>
    <col min="15" max="15" width="7.88671875" customWidth="1"/>
    <col min="16" max="16" width="9.21875" bestFit="1" customWidth="1"/>
    <col min="17" max="17" width="8.77734375" bestFit="1" customWidth="1"/>
    <col min="18" max="19" width="10.5546875" bestFit="1" customWidth="1"/>
    <col min="20" max="20" width="10.109375" bestFit="1" customWidth="1"/>
    <col min="21" max="21" width="12.109375" bestFit="1" customWidth="1"/>
  </cols>
  <sheetData>
    <row r="1" spans="1:21" ht="15.6" x14ac:dyDescent="0.3">
      <c r="A1" s="1" t="s">
        <v>0</v>
      </c>
      <c r="B1" s="1"/>
      <c r="C1" s="1"/>
      <c r="D1" s="2"/>
      <c r="E1" s="2"/>
      <c r="F1" s="2"/>
      <c r="G1" s="1"/>
      <c r="H1" s="3"/>
      <c r="I1" s="3"/>
      <c r="J1" s="4"/>
      <c r="K1" s="4"/>
      <c r="L1" s="5"/>
      <c r="M1" s="5"/>
      <c r="N1" s="6"/>
      <c r="O1" s="7"/>
      <c r="P1" s="7"/>
      <c r="Q1" s="4"/>
      <c r="R1" s="4"/>
      <c r="S1" s="4"/>
      <c r="T1" s="8"/>
      <c r="U1" s="9"/>
    </row>
    <row r="2" spans="1:21" x14ac:dyDescent="0.3">
      <c r="A2" s="10" t="s">
        <v>1</v>
      </c>
      <c r="B2" s="11" t="s">
        <v>94</v>
      </c>
      <c r="C2" s="12" t="s">
        <v>3</v>
      </c>
      <c r="D2" s="13">
        <v>2022</v>
      </c>
      <c r="E2" s="14" t="s">
        <v>4</v>
      </c>
      <c r="F2" s="15">
        <v>25</v>
      </c>
      <c r="G2" s="16"/>
      <c r="H2" s="16"/>
      <c r="I2" s="16"/>
      <c r="J2" s="16"/>
      <c r="K2" s="16"/>
      <c r="L2" s="17"/>
      <c r="M2" s="16"/>
      <c r="N2" s="16"/>
      <c r="O2" s="18" t="s">
        <v>5</v>
      </c>
      <c r="P2" s="19">
        <v>29</v>
      </c>
      <c r="Q2" s="20"/>
      <c r="R2" s="20"/>
      <c r="S2" s="21"/>
      <c r="T2" s="22"/>
      <c r="U2" s="23"/>
    </row>
    <row r="3" spans="1:21" s="139" customFormat="1" ht="12" x14ac:dyDescent="0.25">
      <c r="A3" s="138" t="s">
        <v>85</v>
      </c>
      <c r="B3" s="20"/>
      <c r="C3" s="140">
        <f>Июл!C3</f>
        <v>6.17</v>
      </c>
      <c r="D3" s="24"/>
      <c r="E3" s="137" t="s">
        <v>86</v>
      </c>
      <c r="F3" s="24"/>
      <c r="G3" s="140">
        <f>Июл!G3</f>
        <v>4.32</v>
      </c>
      <c r="H3" s="26"/>
      <c r="I3" s="26"/>
      <c r="J3" s="16"/>
      <c r="K3" s="16"/>
      <c r="L3" s="16"/>
      <c r="M3" s="16"/>
      <c r="N3" s="17"/>
      <c r="O3" s="16"/>
      <c r="P3" s="16"/>
      <c r="Q3" s="16"/>
      <c r="R3" s="16"/>
      <c r="S3" s="16"/>
      <c r="T3" s="22"/>
      <c r="U3" s="23"/>
    </row>
    <row r="4" spans="1:21" x14ac:dyDescent="0.3">
      <c r="A4" s="27" t="s">
        <v>6</v>
      </c>
      <c r="B4" s="199" t="s">
        <v>7</v>
      </c>
      <c r="C4" s="200"/>
      <c r="D4" s="205" t="s">
        <v>8</v>
      </c>
      <c r="E4" s="206"/>
      <c r="F4" s="28" t="s">
        <v>9</v>
      </c>
      <c r="G4" s="29" t="s">
        <v>10</v>
      </c>
      <c r="H4" s="30" t="s">
        <v>11</v>
      </c>
      <c r="I4" s="30" t="s">
        <v>12</v>
      </c>
      <c r="J4" s="31" t="s">
        <v>13</v>
      </c>
      <c r="K4" s="32" t="s">
        <v>14</v>
      </c>
      <c r="L4" s="33" t="s">
        <v>15</v>
      </c>
      <c r="M4" s="33" t="s">
        <v>16</v>
      </c>
      <c r="N4" s="34" t="s">
        <v>17</v>
      </c>
      <c r="O4" s="35" t="s">
        <v>18</v>
      </c>
      <c r="P4" s="35" t="s">
        <v>19</v>
      </c>
      <c r="Q4" s="35" t="s">
        <v>15</v>
      </c>
      <c r="R4" s="36" t="s">
        <v>20</v>
      </c>
      <c r="S4" s="37" t="s">
        <v>21</v>
      </c>
      <c r="T4" s="38" t="s">
        <v>22</v>
      </c>
      <c r="U4" s="23" t="s">
        <v>23</v>
      </c>
    </row>
    <row r="5" spans="1:21" x14ac:dyDescent="0.3">
      <c r="A5" s="39"/>
      <c r="B5" s="27" t="s">
        <v>24</v>
      </c>
      <c r="C5" s="27" t="s">
        <v>25</v>
      </c>
      <c r="D5" s="207" t="s">
        <v>26</v>
      </c>
      <c r="E5" s="208"/>
      <c r="F5" s="40"/>
      <c r="G5" s="41" t="s">
        <v>27</v>
      </c>
      <c r="H5" s="39" t="s">
        <v>28</v>
      </c>
      <c r="I5" s="39" t="s">
        <v>29</v>
      </c>
      <c r="J5" s="42" t="s">
        <v>30</v>
      </c>
      <c r="K5" s="43" t="s">
        <v>31</v>
      </c>
      <c r="L5" s="44" t="s">
        <v>32</v>
      </c>
      <c r="M5" s="44" t="s">
        <v>33</v>
      </c>
      <c r="N5" s="45" t="s">
        <v>34</v>
      </c>
      <c r="O5" s="46" t="s">
        <v>35</v>
      </c>
      <c r="P5" s="46" t="s">
        <v>36</v>
      </c>
      <c r="Q5" s="46" t="s">
        <v>37</v>
      </c>
      <c r="R5" s="47" t="s">
        <v>38</v>
      </c>
      <c r="S5" s="48" t="s">
        <v>39</v>
      </c>
      <c r="T5" s="38" t="s">
        <v>40</v>
      </c>
      <c r="U5" s="23" t="s">
        <v>41</v>
      </c>
    </row>
    <row r="6" spans="1:21" x14ac:dyDescent="0.3">
      <c r="A6" s="49"/>
      <c r="B6" s="49" t="s">
        <v>42</v>
      </c>
      <c r="C6" s="49" t="s">
        <v>42</v>
      </c>
      <c r="D6" s="50" t="s">
        <v>43</v>
      </c>
      <c r="E6" s="51" t="s">
        <v>44</v>
      </c>
      <c r="F6" s="52"/>
      <c r="G6" s="53" t="s">
        <v>45</v>
      </c>
      <c r="H6" s="54" t="s">
        <v>46</v>
      </c>
      <c r="I6" s="54" t="s">
        <v>47</v>
      </c>
      <c r="J6" s="55" t="s">
        <v>46</v>
      </c>
      <c r="K6" s="56"/>
      <c r="L6" s="57" t="s">
        <v>48</v>
      </c>
      <c r="M6" s="57" t="s">
        <v>48</v>
      </c>
      <c r="N6" s="58"/>
      <c r="O6" s="59" t="s">
        <v>46</v>
      </c>
      <c r="P6" s="59" t="s">
        <v>46</v>
      </c>
      <c r="Q6" s="59" t="s">
        <v>48</v>
      </c>
      <c r="R6" s="60" t="s">
        <v>49</v>
      </c>
      <c r="S6" s="60" t="s">
        <v>49</v>
      </c>
      <c r="T6" s="38" t="s">
        <v>34</v>
      </c>
      <c r="U6" s="23" t="s">
        <v>50</v>
      </c>
    </row>
    <row r="7" spans="1:21" x14ac:dyDescent="0.3">
      <c r="A7" s="61" t="s">
        <v>51</v>
      </c>
      <c r="B7" s="62" t="s">
        <v>52</v>
      </c>
      <c r="C7" s="63" t="s">
        <v>53</v>
      </c>
      <c r="D7" s="64">
        <f>Сен!E7</f>
        <v>75979.342999999993</v>
      </c>
      <c r="E7" s="65">
        <v>75979.342999999993</v>
      </c>
      <c r="F7" s="66">
        <f t="shared" ref="F7:F8" si="0">IF(E7&gt;0,E7-D7,0)</f>
        <v>0</v>
      </c>
      <c r="G7" s="67">
        <v>60</v>
      </c>
      <c r="H7" s="68">
        <f t="shared" ref="H7:H8" si="1">F7*G7</f>
        <v>0</v>
      </c>
      <c r="I7" s="157"/>
      <c r="J7" s="70">
        <f>IF(G7&gt;0,$C$3,0)</f>
        <v>6.17</v>
      </c>
      <c r="K7" s="70">
        <f>IF(G7&gt;0,$G$3,0)</f>
        <v>4.32</v>
      </c>
      <c r="L7" s="71">
        <f t="shared" ref="L7:L8" si="2">J7*(H7-I7)+I7*K7</f>
        <v>0</v>
      </c>
      <c r="M7" s="71">
        <f>L7+L8</f>
        <v>488886.12000000017</v>
      </c>
      <c r="N7" s="72">
        <v>8.4239417043940584E-2</v>
      </c>
      <c r="O7" s="73">
        <f>H7*N7</f>
        <v>0</v>
      </c>
      <c r="P7" s="68">
        <f t="shared" ref="P7:P8" si="3">IF($O$19&gt;0,O7*$H$19/$O$19,0)</f>
        <v>0</v>
      </c>
      <c r="Q7" s="16">
        <f>J7*P7</f>
        <v>0</v>
      </c>
      <c r="R7" s="74">
        <f t="shared" ref="R7:R8" si="4">IF(P7&gt;0,L7+Q7,L7)</f>
        <v>0</v>
      </c>
      <c r="S7" s="91">
        <f t="shared" ref="S7" si="5">R7+R8</f>
        <v>491887.2557644709</v>
      </c>
      <c r="T7" s="22">
        <f>L7+Q7</f>
        <v>0</v>
      </c>
      <c r="U7" s="23">
        <f t="shared" ref="U7:U14" si="6">IF($P$2&gt;0,H7/$P$2,0)</f>
        <v>0</v>
      </c>
    </row>
    <row r="8" spans="1:21" x14ac:dyDescent="0.3">
      <c r="A8" s="76"/>
      <c r="B8" s="77"/>
      <c r="C8" s="78"/>
      <c r="D8" s="79">
        <f>Сен!E8</f>
        <v>2276.54</v>
      </c>
      <c r="E8" s="80">
        <v>2936.84</v>
      </c>
      <c r="F8" s="81">
        <f t="shared" si="0"/>
        <v>660.30000000000018</v>
      </c>
      <c r="G8" s="82">
        <f>600/5</f>
        <v>120</v>
      </c>
      <c r="H8" s="83">
        <f t="shared" si="1"/>
        <v>79236.000000000029</v>
      </c>
      <c r="I8" s="158"/>
      <c r="J8" s="85">
        <f t="shared" ref="J8" si="7">IF(G8&gt;0,$C$3,0)</f>
        <v>6.17</v>
      </c>
      <c r="K8" s="135">
        <f t="shared" ref="K8" si="8">IF(G8&gt;0,$G$3,0)</f>
        <v>4.32</v>
      </c>
      <c r="L8" s="86">
        <f t="shared" si="2"/>
        <v>488886.12000000017</v>
      </c>
      <c r="M8" s="86"/>
      <c r="N8" s="87">
        <v>8.4239417043940584E-2</v>
      </c>
      <c r="O8" s="83">
        <f>H8*N8</f>
        <v>6674.7944488936782</v>
      </c>
      <c r="P8" s="83">
        <f t="shared" si="3"/>
        <v>486.40774140530965</v>
      </c>
      <c r="Q8" s="88">
        <f>J8*P8</f>
        <v>3001.1357644707605</v>
      </c>
      <c r="R8" s="89">
        <f t="shared" si="4"/>
        <v>491887.2557644709</v>
      </c>
      <c r="S8" s="90"/>
      <c r="T8" s="22"/>
      <c r="U8" s="23">
        <f t="shared" si="6"/>
        <v>2732.2758620689665</v>
      </c>
    </row>
    <row r="9" spans="1:21" x14ac:dyDescent="0.3">
      <c r="A9" s="61" t="s">
        <v>54</v>
      </c>
      <c r="B9" s="62" t="s">
        <v>55</v>
      </c>
      <c r="C9" s="63" t="s">
        <v>56</v>
      </c>
      <c r="D9" s="64">
        <f>Сен!E9</f>
        <v>18921.400000000001</v>
      </c>
      <c r="E9" s="65">
        <v>19571</v>
      </c>
      <c r="F9" s="66">
        <f t="shared" ref="F9:F15" si="9">IF(E9&gt;0,E9-D9,0)</f>
        <v>649.59999999999854</v>
      </c>
      <c r="G9" s="67">
        <v>50</v>
      </c>
      <c r="H9" s="68">
        <f>F9*G9+F10*G10</f>
        <v>32479.999999999927</v>
      </c>
      <c r="I9" s="69"/>
      <c r="J9" s="70">
        <f t="shared" ref="J9:J16" si="10">IF(G9&gt;0,$C$3,0)</f>
        <v>6.17</v>
      </c>
      <c r="K9" s="70">
        <f t="shared" ref="K9:K16" si="11">IF(G9&gt;0,$G$3,0)</f>
        <v>4.32</v>
      </c>
      <c r="L9" s="71">
        <f t="shared" ref="L9:L13" si="12">J9*(H9-I9)+I9*K9</f>
        <v>200401.59999999954</v>
      </c>
      <c r="M9" s="71">
        <f t="shared" ref="M9" si="13">L9+L10</f>
        <v>200401.59999999954</v>
      </c>
      <c r="N9" s="72">
        <v>8.4239417043940584E-2</v>
      </c>
      <c r="O9" s="73">
        <f>H9*N9</f>
        <v>2736.096265587184</v>
      </c>
      <c r="P9" s="68">
        <f t="shared" ref="P9" si="14">IF($O$19&gt;0,O9*$H$19/$O$19,0)</f>
        <v>199.38567621844135</v>
      </c>
      <c r="Q9" s="16">
        <f>J9*P9</f>
        <v>1230.2096222677831</v>
      </c>
      <c r="R9" s="74">
        <f t="shared" ref="R9" si="15">IF(P9&gt;0,L9+Q9,L9)</f>
        <v>201631.80962226732</v>
      </c>
      <c r="S9" s="91">
        <f t="shared" ref="S9" si="16">R9+R10</f>
        <v>201631.80962226732</v>
      </c>
      <c r="T9" s="22">
        <f t="shared" ref="T9" si="17">L9+Q9</f>
        <v>201631.80962226732</v>
      </c>
      <c r="U9" s="23">
        <f t="shared" si="6"/>
        <v>1119.9999999999975</v>
      </c>
    </row>
    <row r="10" spans="1:21" x14ac:dyDescent="0.3">
      <c r="A10" s="92" t="s">
        <v>57</v>
      </c>
      <c r="B10" s="77"/>
      <c r="C10" s="78"/>
      <c r="D10" s="79">
        <f>Сен!E10</f>
        <v>0</v>
      </c>
      <c r="E10" s="80"/>
      <c r="F10" s="93"/>
      <c r="G10" s="82"/>
      <c r="H10" s="83"/>
      <c r="I10" s="84"/>
      <c r="J10" s="85">
        <f t="shared" si="10"/>
        <v>0</v>
      </c>
      <c r="K10" s="135">
        <f t="shared" si="11"/>
        <v>0</v>
      </c>
      <c r="L10" s="86">
        <f t="shared" si="12"/>
        <v>0</v>
      </c>
      <c r="M10" s="86"/>
      <c r="N10" s="87"/>
      <c r="O10" s="83"/>
      <c r="P10" s="83"/>
      <c r="Q10" s="88"/>
      <c r="R10" s="89"/>
      <c r="S10" s="90"/>
      <c r="T10" s="22"/>
      <c r="U10" s="23">
        <f t="shared" si="6"/>
        <v>0</v>
      </c>
    </row>
    <row r="11" spans="1:21" x14ac:dyDescent="0.3">
      <c r="A11" s="94" t="s">
        <v>58</v>
      </c>
      <c r="B11" s="62" t="s">
        <v>55</v>
      </c>
      <c r="C11" s="63" t="s">
        <v>59</v>
      </c>
      <c r="D11" s="64">
        <f>Сен!E11</f>
        <v>92062.399999999994</v>
      </c>
      <c r="E11" s="95">
        <v>93320</v>
      </c>
      <c r="F11" s="66">
        <f t="shared" si="9"/>
        <v>1257.6000000000058</v>
      </c>
      <c r="G11" s="67">
        <v>60</v>
      </c>
      <c r="H11" s="68">
        <f t="shared" ref="H11:H15" si="18">F11*G11</f>
        <v>75456.000000000349</v>
      </c>
      <c r="I11" s="69"/>
      <c r="J11" s="70">
        <f t="shared" si="10"/>
        <v>6.17</v>
      </c>
      <c r="K11" s="70">
        <f t="shared" si="11"/>
        <v>4.32</v>
      </c>
      <c r="L11" s="71">
        <f t="shared" si="12"/>
        <v>465563.52000000217</v>
      </c>
      <c r="M11" s="71">
        <f t="shared" ref="M11" si="19">L11+L12</f>
        <v>465563.52000000217</v>
      </c>
      <c r="N11" s="72">
        <v>9.3867222073683532E-2</v>
      </c>
      <c r="O11" s="73">
        <f>H11*N11</f>
        <v>7082.8451087918975</v>
      </c>
      <c r="P11" s="68">
        <f t="shared" ref="P11:P14" si="20">IF($O$19&gt;0,O11*$H$19/$O$19,0)</f>
        <v>516.14333871541658</v>
      </c>
      <c r="Q11" s="16">
        <f>J11*P11</f>
        <v>3184.6043998741202</v>
      </c>
      <c r="R11" s="74">
        <f t="shared" ref="R11:R14" si="21">IF(P11&gt;0,L11+Q11,L11)</f>
        <v>468748.12439987628</v>
      </c>
      <c r="S11" s="91">
        <f t="shared" ref="S11" si="22">R11+R12</f>
        <v>468748.12439987628</v>
      </c>
      <c r="T11" s="22">
        <f t="shared" ref="T11:T14" si="23">L11+Q11</f>
        <v>468748.12439987628</v>
      </c>
      <c r="U11" s="23">
        <f t="shared" si="6"/>
        <v>2601.9310344827709</v>
      </c>
    </row>
    <row r="12" spans="1:21" x14ac:dyDescent="0.3">
      <c r="A12" s="76"/>
      <c r="B12" s="77" t="s">
        <v>55</v>
      </c>
      <c r="C12" s="78" t="s">
        <v>60</v>
      </c>
      <c r="D12" s="79">
        <f>Сен!E12</f>
        <v>3</v>
      </c>
      <c r="E12" s="80">
        <v>3</v>
      </c>
      <c r="F12" s="81">
        <f t="shared" si="9"/>
        <v>0</v>
      </c>
      <c r="G12" s="82">
        <f>400/5</f>
        <v>80</v>
      </c>
      <c r="H12" s="83">
        <f t="shared" si="18"/>
        <v>0</v>
      </c>
      <c r="I12" s="84"/>
      <c r="J12" s="85">
        <f t="shared" si="10"/>
        <v>6.17</v>
      </c>
      <c r="K12" s="135">
        <f t="shared" si="11"/>
        <v>4.32</v>
      </c>
      <c r="L12" s="86">
        <f t="shared" si="12"/>
        <v>0</v>
      </c>
      <c r="M12" s="86"/>
      <c r="N12" s="87">
        <v>9.3867222073683532E-2</v>
      </c>
      <c r="O12" s="83">
        <f>H12*N12</f>
        <v>0</v>
      </c>
      <c r="P12" s="83">
        <f t="shared" si="20"/>
        <v>0</v>
      </c>
      <c r="Q12" s="88">
        <f>J12*P12</f>
        <v>0</v>
      </c>
      <c r="R12" s="89">
        <f t="shared" si="21"/>
        <v>0</v>
      </c>
      <c r="S12" s="90"/>
      <c r="T12" s="22">
        <f t="shared" si="23"/>
        <v>0</v>
      </c>
      <c r="U12" s="23">
        <f t="shared" si="6"/>
        <v>0</v>
      </c>
    </row>
    <row r="13" spans="1:21" x14ac:dyDescent="0.3">
      <c r="A13" s="94" t="s">
        <v>61</v>
      </c>
      <c r="B13" s="62" t="s">
        <v>55</v>
      </c>
      <c r="C13" s="63" t="s">
        <v>62</v>
      </c>
      <c r="D13" s="64">
        <f>Сен!E13</f>
        <v>7770.7</v>
      </c>
      <c r="E13" s="95">
        <v>7770.7</v>
      </c>
      <c r="F13" s="66">
        <f t="shared" si="9"/>
        <v>0</v>
      </c>
      <c r="G13" s="67">
        <v>40</v>
      </c>
      <c r="H13" s="68">
        <f t="shared" si="18"/>
        <v>0</v>
      </c>
      <c r="I13" s="96"/>
      <c r="J13" s="70">
        <f t="shared" si="10"/>
        <v>6.17</v>
      </c>
      <c r="K13" s="70">
        <f t="shared" si="11"/>
        <v>4.32</v>
      </c>
      <c r="L13" s="71">
        <f t="shared" si="12"/>
        <v>0</v>
      </c>
      <c r="M13" s="71">
        <f t="shared" ref="M13" si="24">L13+L14</f>
        <v>362176.58999999985</v>
      </c>
      <c r="N13" s="72">
        <v>9.3867222073683532E-2</v>
      </c>
      <c r="O13" s="73">
        <f>H13*N13</f>
        <v>0</v>
      </c>
      <c r="P13" s="68">
        <f t="shared" si="20"/>
        <v>0</v>
      </c>
      <c r="Q13" s="16">
        <f>J13*P13</f>
        <v>0</v>
      </c>
      <c r="R13" s="74">
        <f t="shared" si="21"/>
        <v>0</v>
      </c>
      <c r="S13" s="91">
        <f t="shared" ref="S13" si="25">R13+R14</f>
        <v>364740.6152133845</v>
      </c>
      <c r="T13" s="22">
        <f t="shared" si="23"/>
        <v>0</v>
      </c>
      <c r="U13" s="23">
        <f t="shared" si="6"/>
        <v>0</v>
      </c>
    </row>
    <row r="14" spans="1:21" x14ac:dyDescent="0.3">
      <c r="A14" s="76"/>
      <c r="B14" s="77" t="s">
        <v>55</v>
      </c>
      <c r="C14" s="78" t="s">
        <v>63</v>
      </c>
      <c r="D14" s="79">
        <f>Сен!E14</f>
        <v>11088.5</v>
      </c>
      <c r="E14" s="80">
        <v>11847.9</v>
      </c>
      <c r="F14" s="81">
        <f t="shared" si="9"/>
        <v>759.39999999999964</v>
      </c>
      <c r="G14" s="82">
        <f>400/5</f>
        <v>80</v>
      </c>
      <c r="H14" s="83">
        <f t="shared" si="18"/>
        <v>60751.999999999971</v>
      </c>
      <c r="I14" s="84">
        <v>6845</v>
      </c>
      <c r="J14" s="85">
        <f t="shared" si="10"/>
        <v>6.17</v>
      </c>
      <c r="K14" s="135">
        <f t="shared" si="11"/>
        <v>4.32</v>
      </c>
      <c r="L14" s="86">
        <f>J14*(H14-I14)+I14*K14</f>
        <v>362176.58999999985</v>
      </c>
      <c r="M14" s="86"/>
      <c r="N14" s="87">
        <v>9.3867222073683532E-2</v>
      </c>
      <c r="O14" s="83">
        <f>H14*N14</f>
        <v>5702.6214754204193</v>
      </c>
      <c r="P14" s="83">
        <f t="shared" si="20"/>
        <v>415.56324366039581</v>
      </c>
      <c r="Q14" s="88">
        <f>J14*P14</f>
        <v>2564.025213384642</v>
      </c>
      <c r="R14" s="89">
        <f t="shared" si="21"/>
        <v>364740.6152133845</v>
      </c>
      <c r="S14" s="98"/>
      <c r="T14" s="22">
        <f t="shared" si="23"/>
        <v>364740.6152133845</v>
      </c>
      <c r="U14" s="23">
        <f t="shared" si="6"/>
        <v>2094.8965517241368</v>
      </c>
    </row>
    <row r="15" spans="1:21" x14ac:dyDescent="0.3">
      <c r="A15" s="94" t="s">
        <v>64</v>
      </c>
      <c r="B15" s="62" t="s">
        <v>52</v>
      </c>
      <c r="C15" s="63" t="s">
        <v>65</v>
      </c>
      <c r="D15" s="99">
        <f>Сен!E15</f>
        <v>4207.732</v>
      </c>
      <c r="E15" s="100">
        <v>4374.0929999999998</v>
      </c>
      <c r="F15" s="101">
        <f t="shared" si="9"/>
        <v>166.36099999999988</v>
      </c>
      <c r="G15" s="102">
        <v>1500</v>
      </c>
      <c r="H15" s="68">
        <f t="shared" si="18"/>
        <v>249541.49999999983</v>
      </c>
      <c r="I15" s="69">
        <f>SUM(I7:I14)</f>
        <v>6845</v>
      </c>
      <c r="J15" s="70">
        <f t="shared" si="10"/>
        <v>6.17</v>
      </c>
      <c r="K15" s="70">
        <f t="shared" si="11"/>
        <v>4.32</v>
      </c>
      <c r="L15" s="103">
        <f t="shared" ref="L15:L16" si="26">J15*(H15-I15)+I15*K15</f>
        <v>1527007.8049999988</v>
      </c>
      <c r="M15" s="103"/>
      <c r="N15" s="72"/>
      <c r="O15" s="73"/>
      <c r="P15" s="68"/>
      <c r="Q15" s="16"/>
      <c r="R15" s="103"/>
      <c r="S15" s="104"/>
      <c r="T15" s="22"/>
      <c r="U15" s="23"/>
    </row>
    <row r="16" spans="1:21" x14ac:dyDescent="0.3">
      <c r="A16" s="76" t="s">
        <v>66</v>
      </c>
      <c r="B16" s="77"/>
      <c r="C16" s="78"/>
      <c r="D16" s="105">
        <f>Сен!E16</f>
        <v>0</v>
      </c>
      <c r="E16" s="106"/>
      <c r="F16" s="107"/>
      <c r="G16" s="108"/>
      <c r="H16" s="83"/>
      <c r="I16" s="84"/>
      <c r="J16" s="85">
        <f t="shared" si="10"/>
        <v>0</v>
      </c>
      <c r="K16" s="135">
        <f t="shared" si="11"/>
        <v>0</v>
      </c>
      <c r="L16" s="109">
        <f t="shared" si="26"/>
        <v>0</v>
      </c>
      <c r="M16" s="109"/>
      <c r="N16" s="87"/>
      <c r="O16" s="83"/>
      <c r="P16" s="83"/>
      <c r="Q16" s="88"/>
      <c r="R16" s="110"/>
      <c r="S16" s="111"/>
      <c r="T16" s="22"/>
      <c r="U16" s="23"/>
    </row>
    <row r="17" spans="1:21" x14ac:dyDescent="0.3">
      <c r="A17" s="20"/>
      <c r="B17" s="20"/>
      <c r="C17" s="20"/>
      <c r="D17" s="24"/>
      <c r="E17" s="24"/>
      <c r="F17" s="24"/>
      <c r="G17" s="112"/>
      <c r="H17" s="26"/>
      <c r="I17" s="26"/>
      <c r="J17" s="16"/>
      <c r="K17" s="16"/>
      <c r="L17" s="113"/>
      <c r="M17" s="113"/>
      <c r="N17" s="17"/>
      <c r="O17" s="16"/>
      <c r="P17" s="16"/>
      <c r="Q17" s="16"/>
      <c r="R17" s="16"/>
      <c r="S17" s="16"/>
      <c r="T17" s="22"/>
      <c r="U17" s="23"/>
    </row>
    <row r="18" spans="1:21" x14ac:dyDescent="0.3">
      <c r="A18" s="114"/>
      <c r="B18" s="114"/>
      <c r="C18" s="114"/>
      <c r="D18" s="115"/>
      <c r="E18" s="24"/>
      <c r="F18" s="24"/>
      <c r="G18" s="116" t="s">
        <v>67</v>
      </c>
      <c r="H18" s="26">
        <f>SUM(H7:H14)</f>
        <v>247924.00000000026</v>
      </c>
      <c r="I18" s="26"/>
      <c r="J18" s="20" t="s">
        <v>46</v>
      </c>
      <c r="K18" s="20"/>
      <c r="L18" s="16"/>
      <c r="M18" s="16"/>
      <c r="N18" s="17"/>
      <c r="O18" s="16"/>
      <c r="P18" s="16"/>
      <c r="Q18" s="16"/>
      <c r="R18" s="16"/>
      <c r="S18" s="16"/>
      <c r="T18" s="22"/>
      <c r="U18" s="23"/>
    </row>
    <row r="19" spans="1:21" x14ac:dyDescent="0.3">
      <c r="A19" s="117"/>
      <c r="B19" s="117"/>
      <c r="C19" s="117"/>
      <c r="D19" s="118"/>
      <c r="E19" s="24"/>
      <c r="F19" s="24"/>
      <c r="G19" s="116" t="s">
        <v>68</v>
      </c>
      <c r="H19" s="26">
        <f>IF(H15&gt;0,H15-H18,0)</f>
        <v>1617.4999999995634</v>
      </c>
      <c r="I19" s="26"/>
      <c r="J19" s="20" t="s">
        <v>46</v>
      </c>
      <c r="K19" s="20"/>
      <c r="L19" s="16"/>
      <c r="M19" s="16"/>
      <c r="N19" s="17"/>
      <c r="O19" s="26">
        <f>SUM(O7:O14)</f>
        <v>22196.357298693179</v>
      </c>
      <c r="P19" s="16">
        <f>SUM(P7:P14)</f>
        <v>1617.4999999995632</v>
      </c>
      <c r="Q19" s="16">
        <f>SUM(Q7:Q16)</f>
        <v>9979.9749999973064</v>
      </c>
      <c r="R19" s="119">
        <f>SUM(R7:R14)</f>
        <v>1527007.8049999988</v>
      </c>
      <c r="S19" s="119"/>
      <c r="T19" s="120">
        <f>SUM(T7:T14)</f>
        <v>1035120.5492355281</v>
      </c>
      <c r="U19" s="20"/>
    </row>
    <row r="20" spans="1:21" x14ac:dyDescent="0.3">
      <c r="A20" s="117"/>
      <c r="B20" s="117"/>
      <c r="C20" s="117"/>
      <c r="D20" s="118"/>
      <c r="E20" s="24"/>
      <c r="F20" s="24"/>
      <c r="G20" s="116" t="s">
        <v>69</v>
      </c>
      <c r="H20" s="17">
        <f>IF(H15&gt;0,H19/H15,0)</f>
        <v>6.4818877821907961E-3</v>
      </c>
      <c r="I20" s="17"/>
      <c r="J20" s="16"/>
      <c r="K20" s="16"/>
      <c r="L20" s="16"/>
      <c r="M20" s="16"/>
      <c r="N20" s="17"/>
      <c r="O20" s="16"/>
      <c r="P20" s="16"/>
      <c r="Q20" s="16"/>
      <c r="R20" s="16"/>
      <c r="S20" s="16"/>
      <c r="T20" s="22"/>
      <c r="U20" s="20"/>
    </row>
    <row r="21" spans="1:21" x14ac:dyDescent="0.3">
      <c r="A21" s="117"/>
      <c r="B21" s="117"/>
      <c r="C21" s="117"/>
      <c r="D21" s="118"/>
      <c r="E21" s="24"/>
      <c r="F21" s="24"/>
      <c r="G21" s="25"/>
      <c r="H21" s="16"/>
      <c r="I21" s="16"/>
      <c r="J21" s="16"/>
      <c r="K21" s="16"/>
      <c r="L21" s="16"/>
      <c r="M21" s="16"/>
      <c r="N21" s="17"/>
      <c r="O21" s="16"/>
      <c r="P21" s="16"/>
      <c r="Q21" s="16"/>
      <c r="R21" s="16"/>
      <c r="S21" s="16"/>
      <c r="T21" s="22"/>
      <c r="U21" s="20"/>
    </row>
    <row r="22" spans="1:21" x14ac:dyDescent="0.3">
      <c r="A22" s="117"/>
      <c r="B22" s="117"/>
      <c r="C22" s="117"/>
      <c r="D22" s="118"/>
      <c r="E22" s="24"/>
      <c r="F22" s="24"/>
      <c r="G22" s="25"/>
      <c r="H22" s="16"/>
      <c r="I22" s="16"/>
      <c r="J22" s="16"/>
      <c r="K22" s="16"/>
      <c r="L22" s="16"/>
      <c r="M22" s="16"/>
      <c r="N22" s="17"/>
      <c r="O22" s="16"/>
      <c r="P22" s="16"/>
      <c r="Q22" s="16"/>
      <c r="R22" s="121" t="s">
        <v>70</v>
      </c>
      <c r="S22" s="122" t="s">
        <v>71</v>
      </c>
      <c r="T22" s="122" t="s">
        <v>72</v>
      </c>
      <c r="U22" s="20"/>
    </row>
    <row r="23" spans="1:21" x14ac:dyDescent="0.3">
      <c r="A23" s="123"/>
      <c r="B23" s="123"/>
      <c r="C23" s="123"/>
      <c r="D23" s="124"/>
      <c r="E23" s="124"/>
      <c r="F23" s="124"/>
      <c r="G23" s="125" t="s">
        <v>73</v>
      </c>
      <c r="H23" s="119">
        <f>H11+H12+H13+H14</f>
        <v>136208.00000000032</v>
      </c>
      <c r="I23" s="119"/>
      <c r="J23" s="119"/>
      <c r="K23" s="119"/>
      <c r="L23" s="119"/>
      <c r="M23" s="119"/>
      <c r="N23" s="123"/>
      <c r="O23" s="126" t="s">
        <v>74</v>
      </c>
      <c r="P23" s="127">
        <v>136208</v>
      </c>
      <c r="Q23" s="119"/>
      <c r="R23" s="75" t="s">
        <v>75</v>
      </c>
      <c r="S23" s="128"/>
      <c r="T23" s="129"/>
      <c r="U23" s="123"/>
    </row>
    <row r="24" spans="1:21" x14ac:dyDescent="0.3">
      <c r="A24" s="130"/>
      <c r="B24" s="130"/>
      <c r="C24" s="130"/>
      <c r="D24" s="124"/>
      <c r="E24" s="124"/>
      <c r="F24" s="124"/>
      <c r="G24" s="125" t="s">
        <v>76</v>
      </c>
      <c r="H24" s="119">
        <f>L11+L12+L13+L14</f>
        <v>827740.11000000197</v>
      </c>
      <c r="I24" s="119"/>
      <c r="J24" s="119"/>
      <c r="K24" s="119"/>
      <c r="L24" s="119"/>
      <c r="M24" s="119"/>
      <c r="N24" s="131"/>
      <c r="O24" s="126" t="s">
        <v>77</v>
      </c>
      <c r="P24" s="127">
        <v>827736.55</v>
      </c>
      <c r="Q24" s="119"/>
      <c r="R24" s="98">
        <f>M13</f>
        <v>362176.58999999985</v>
      </c>
      <c r="S24" s="132"/>
      <c r="T24" s="98">
        <f>IF(S24&gt;0,R24-S24,0)</f>
        <v>0</v>
      </c>
      <c r="U24" s="117"/>
    </row>
    <row r="25" spans="1:21" x14ac:dyDescent="0.3">
      <c r="A25" s="133"/>
      <c r="B25" s="133"/>
      <c r="C25" s="133"/>
      <c r="D25" s="24"/>
      <c r="E25" s="24"/>
      <c r="F25" s="24"/>
      <c r="G25" s="25"/>
      <c r="H25" s="16"/>
      <c r="I25" s="16"/>
      <c r="J25" s="16"/>
      <c r="K25" s="16"/>
      <c r="L25" s="16"/>
      <c r="M25" s="16" t="s">
        <v>118</v>
      </c>
      <c r="N25" s="17"/>
      <c r="O25" s="16"/>
      <c r="P25" s="16">
        <v>-3.56</v>
      </c>
      <c r="Q25" s="16"/>
      <c r="R25" s="104" t="s">
        <v>78</v>
      </c>
      <c r="S25" s="128"/>
      <c r="T25" s="134"/>
      <c r="U25" s="117"/>
    </row>
    <row r="26" spans="1:21" x14ac:dyDescent="0.3">
      <c r="A26" s="20"/>
      <c r="B26" s="20"/>
      <c r="C26" s="20"/>
      <c r="D26" s="24"/>
      <c r="E26" s="24"/>
      <c r="F26" s="24"/>
      <c r="G26" s="25"/>
      <c r="H26" s="26"/>
      <c r="I26" s="26"/>
      <c r="J26" s="16"/>
      <c r="K26" s="16"/>
      <c r="L26" s="16"/>
      <c r="M26" s="16"/>
      <c r="N26" s="17"/>
      <c r="O26" s="16"/>
      <c r="P26" s="16"/>
      <c r="Q26" s="16"/>
      <c r="R26" s="111">
        <f>M11+P25</f>
        <v>465559.96000000217</v>
      </c>
      <c r="S26" s="135"/>
      <c r="T26" s="111">
        <f>IF(S26&gt;0,R26-S26,0)</f>
        <v>0</v>
      </c>
      <c r="U26" s="117"/>
    </row>
    <row r="27" spans="1:21" x14ac:dyDescent="0.3">
      <c r="A27" s="20"/>
      <c r="B27" s="20"/>
      <c r="C27" s="20"/>
      <c r="D27" s="24" t="s">
        <v>79</v>
      </c>
      <c r="E27" s="24"/>
      <c r="F27" s="24"/>
      <c r="G27" s="25"/>
      <c r="H27" s="26"/>
      <c r="I27" s="26"/>
      <c r="J27" s="16"/>
      <c r="K27" s="16"/>
      <c r="L27" s="16"/>
      <c r="M27" s="16"/>
      <c r="N27" s="17"/>
      <c r="O27" s="16"/>
      <c r="P27" s="16"/>
      <c r="Q27" s="16"/>
      <c r="R27" s="104" t="s">
        <v>80</v>
      </c>
      <c r="S27" s="136"/>
      <c r="T27" s="134"/>
      <c r="U27" s="117"/>
    </row>
    <row r="28" spans="1:21" x14ac:dyDescent="0.3">
      <c r="A28" s="20"/>
      <c r="B28" s="20"/>
      <c r="C28" s="20"/>
      <c r="D28" s="24" t="s">
        <v>81</v>
      </c>
      <c r="E28" s="24"/>
      <c r="F28" s="24"/>
      <c r="G28" s="25"/>
      <c r="H28" s="26"/>
      <c r="I28" s="26"/>
      <c r="J28" s="16"/>
      <c r="K28" s="16"/>
      <c r="L28" s="16" t="s">
        <v>82</v>
      </c>
      <c r="M28" s="16"/>
      <c r="N28" s="17"/>
      <c r="O28" s="16"/>
      <c r="P28" s="16"/>
      <c r="Q28" s="16"/>
      <c r="R28" s="111">
        <f>R24+R26</f>
        <v>827736.55000000203</v>
      </c>
      <c r="S28" s="135"/>
      <c r="T28" s="111">
        <f>T24+T26</f>
        <v>0</v>
      </c>
      <c r="U28" s="117"/>
    </row>
  </sheetData>
  <mergeCells count="3">
    <mergeCell ref="B4:C4"/>
    <mergeCell ref="D4:E4"/>
    <mergeCell ref="D5:E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1C356-F990-4AFE-B432-81D265D132FE}">
  <sheetPr>
    <tabColor rgb="FFFFFF00"/>
  </sheetPr>
  <dimension ref="A1:U28"/>
  <sheetViews>
    <sheetView showZeros="0" tabSelected="1" workbookViewId="0">
      <selection activeCell="G9" sqref="G9"/>
    </sheetView>
  </sheetViews>
  <sheetFormatPr defaultRowHeight="14.4" x14ac:dyDescent="0.3"/>
  <cols>
    <col min="1" max="1" width="9.109375" customWidth="1"/>
    <col min="2" max="2" width="11.44140625" bestFit="1" customWidth="1"/>
    <col min="3" max="3" width="13.33203125" bestFit="1" customWidth="1"/>
    <col min="4" max="5" width="9.109375" customWidth="1"/>
    <col min="6" max="6" width="7.21875" bestFit="1" customWidth="1"/>
    <col min="7" max="7" width="6.5546875" customWidth="1"/>
    <col min="8" max="8" width="9.21875" bestFit="1" customWidth="1"/>
    <col min="9" max="9" width="7.88671875" bestFit="1" customWidth="1"/>
    <col min="10" max="11" width="5.33203125" bestFit="1" customWidth="1"/>
    <col min="12" max="12" width="11.21875" customWidth="1"/>
    <col min="13" max="13" width="11.6640625" bestFit="1" customWidth="1"/>
    <col min="14" max="14" width="6.44140625" bestFit="1" customWidth="1"/>
    <col min="15" max="15" width="7.88671875" customWidth="1"/>
    <col min="16" max="16" width="9.21875" bestFit="1" customWidth="1"/>
    <col min="17" max="17" width="10.109375" bestFit="1" customWidth="1"/>
    <col min="18" max="19" width="10.5546875" bestFit="1" customWidth="1"/>
    <col min="20" max="20" width="10.109375" bestFit="1" customWidth="1"/>
    <col min="21" max="21" width="12.109375" bestFit="1" customWidth="1"/>
  </cols>
  <sheetData>
    <row r="1" spans="1:21" ht="15.6" x14ac:dyDescent="0.3">
      <c r="A1" s="1" t="s">
        <v>0</v>
      </c>
      <c r="B1" s="1"/>
      <c r="C1" s="1"/>
      <c r="D1" s="2"/>
      <c r="E1" s="2"/>
      <c r="F1" s="2"/>
      <c r="G1" s="1"/>
      <c r="H1" s="3"/>
      <c r="I1" s="3"/>
      <c r="J1" s="4"/>
      <c r="K1" s="4"/>
      <c r="L1" s="5"/>
      <c r="M1" s="5"/>
      <c r="N1" s="6"/>
      <c r="O1" s="7"/>
      <c r="P1" s="7"/>
      <c r="Q1" s="4"/>
      <c r="R1" s="4"/>
      <c r="S1" s="4"/>
      <c r="T1" s="8"/>
      <c r="U1" s="9"/>
    </row>
    <row r="2" spans="1:21" x14ac:dyDescent="0.3">
      <c r="A2" s="10" t="s">
        <v>1</v>
      </c>
      <c r="B2" s="11" t="s">
        <v>95</v>
      </c>
      <c r="C2" s="12" t="s">
        <v>3</v>
      </c>
      <c r="D2" s="13">
        <v>2022</v>
      </c>
      <c r="E2" s="14" t="s">
        <v>4</v>
      </c>
      <c r="F2" s="15">
        <v>25</v>
      </c>
      <c r="G2" s="16"/>
      <c r="H2" s="16"/>
      <c r="I2" s="16"/>
      <c r="J2" s="16"/>
      <c r="K2" s="16"/>
      <c r="L2" s="17"/>
      <c r="M2" s="16"/>
      <c r="N2" s="16"/>
      <c r="O2" s="18" t="s">
        <v>5</v>
      </c>
      <c r="P2" s="19">
        <v>31</v>
      </c>
      <c r="Q2" s="20"/>
      <c r="R2" s="20"/>
      <c r="S2" s="21"/>
      <c r="T2" s="22"/>
      <c r="U2" s="23"/>
    </row>
    <row r="3" spans="1:21" s="139" customFormat="1" ht="12" x14ac:dyDescent="0.25">
      <c r="A3" s="138" t="s">
        <v>85</v>
      </c>
      <c r="B3" s="20"/>
      <c r="C3" s="140">
        <f>Июл!C3</f>
        <v>6.17</v>
      </c>
      <c r="D3" s="24"/>
      <c r="E3" s="137" t="s">
        <v>86</v>
      </c>
      <c r="F3" s="24"/>
      <c r="G3" s="140">
        <f>Июл!G3</f>
        <v>4.32</v>
      </c>
      <c r="H3" s="26"/>
      <c r="I3" s="26"/>
      <c r="J3" s="16"/>
      <c r="K3" s="16"/>
      <c r="L3" s="16"/>
      <c r="M3" s="16"/>
      <c r="N3" s="17"/>
      <c r="O3" s="16"/>
      <c r="P3" s="16"/>
      <c r="Q3" s="16"/>
      <c r="R3" s="16"/>
      <c r="S3" s="16"/>
      <c r="T3" s="22"/>
      <c r="U3" s="23"/>
    </row>
    <row r="4" spans="1:21" x14ac:dyDescent="0.3">
      <c r="A4" s="27" t="s">
        <v>6</v>
      </c>
      <c r="B4" s="199" t="s">
        <v>7</v>
      </c>
      <c r="C4" s="200"/>
      <c r="D4" s="205" t="s">
        <v>8</v>
      </c>
      <c r="E4" s="206"/>
      <c r="F4" s="28" t="s">
        <v>9</v>
      </c>
      <c r="G4" s="29" t="s">
        <v>10</v>
      </c>
      <c r="H4" s="30" t="s">
        <v>11</v>
      </c>
      <c r="I4" s="30" t="s">
        <v>12</v>
      </c>
      <c r="J4" s="31" t="s">
        <v>13</v>
      </c>
      <c r="K4" s="32" t="s">
        <v>14</v>
      </c>
      <c r="L4" s="33" t="s">
        <v>15</v>
      </c>
      <c r="M4" s="33" t="s">
        <v>16</v>
      </c>
      <c r="N4" s="34" t="s">
        <v>17</v>
      </c>
      <c r="O4" s="35" t="s">
        <v>18</v>
      </c>
      <c r="P4" s="35" t="s">
        <v>19</v>
      </c>
      <c r="Q4" s="35" t="s">
        <v>15</v>
      </c>
      <c r="R4" s="36" t="s">
        <v>20</v>
      </c>
      <c r="S4" s="37" t="s">
        <v>21</v>
      </c>
      <c r="T4" s="38" t="s">
        <v>22</v>
      </c>
      <c r="U4" s="23" t="s">
        <v>23</v>
      </c>
    </row>
    <row r="5" spans="1:21" x14ac:dyDescent="0.3">
      <c r="A5" s="39"/>
      <c r="B5" s="27" t="s">
        <v>24</v>
      </c>
      <c r="C5" s="27" t="s">
        <v>25</v>
      </c>
      <c r="D5" s="207" t="s">
        <v>26</v>
      </c>
      <c r="E5" s="208"/>
      <c r="F5" s="40"/>
      <c r="G5" s="41" t="s">
        <v>27</v>
      </c>
      <c r="H5" s="39" t="s">
        <v>28</v>
      </c>
      <c r="I5" s="39" t="s">
        <v>29</v>
      </c>
      <c r="J5" s="42" t="s">
        <v>30</v>
      </c>
      <c r="K5" s="43" t="s">
        <v>31</v>
      </c>
      <c r="L5" s="44" t="s">
        <v>32</v>
      </c>
      <c r="M5" s="44" t="s">
        <v>33</v>
      </c>
      <c r="N5" s="45" t="s">
        <v>34</v>
      </c>
      <c r="O5" s="46" t="s">
        <v>35</v>
      </c>
      <c r="P5" s="46" t="s">
        <v>36</v>
      </c>
      <c r="Q5" s="46" t="s">
        <v>37</v>
      </c>
      <c r="R5" s="47" t="s">
        <v>38</v>
      </c>
      <c r="S5" s="48" t="s">
        <v>39</v>
      </c>
      <c r="T5" s="38" t="s">
        <v>40</v>
      </c>
      <c r="U5" s="23" t="s">
        <v>41</v>
      </c>
    </row>
    <row r="6" spans="1:21" x14ac:dyDescent="0.3">
      <c r="A6" s="49"/>
      <c r="B6" s="49" t="s">
        <v>42</v>
      </c>
      <c r="C6" s="49" t="s">
        <v>42</v>
      </c>
      <c r="D6" s="50" t="s">
        <v>43</v>
      </c>
      <c r="E6" s="51" t="s">
        <v>44</v>
      </c>
      <c r="F6" s="52"/>
      <c r="G6" s="53" t="s">
        <v>45</v>
      </c>
      <c r="H6" s="54" t="s">
        <v>46</v>
      </c>
      <c r="I6" s="54" t="s">
        <v>47</v>
      </c>
      <c r="J6" s="55" t="s">
        <v>46</v>
      </c>
      <c r="K6" s="56"/>
      <c r="L6" s="57" t="s">
        <v>48</v>
      </c>
      <c r="M6" s="57" t="s">
        <v>48</v>
      </c>
      <c r="N6" s="58"/>
      <c r="O6" s="59" t="s">
        <v>46</v>
      </c>
      <c r="P6" s="59" t="s">
        <v>46</v>
      </c>
      <c r="Q6" s="59" t="s">
        <v>48</v>
      </c>
      <c r="R6" s="60" t="s">
        <v>49</v>
      </c>
      <c r="S6" s="60" t="s">
        <v>49</v>
      </c>
      <c r="T6" s="38" t="s">
        <v>34</v>
      </c>
      <c r="U6" s="23" t="s">
        <v>50</v>
      </c>
    </row>
    <row r="7" spans="1:21" x14ac:dyDescent="0.3">
      <c r="A7" s="61" t="s">
        <v>51</v>
      </c>
      <c r="B7" s="62" t="s">
        <v>52</v>
      </c>
      <c r="C7" s="63" t="s">
        <v>53</v>
      </c>
      <c r="D7" s="64">
        <f>Окт!E7</f>
        <v>75979.342999999993</v>
      </c>
      <c r="E7" s="65">
        <v>75979.342999999993</v>
      </c>
      <c r="F7" s="66">
        <f t="shared" ref="F7:F8" si="0">IF(E7&gt;0,E7-D7,0)</f>
        <v>0</v>
      </c>
      <c r="G7" s="67">
        <v>60</v>
      </c>
      <c r="H7" s="68">
        <f t="shared" ref="H7:H8" si="1">F7*G7</f>
        <v>0</v>
      </c>
      <c r="I7" s="157"/>
      <c r="J7" s="70">
        <f>IF(G7&gt;0,$C$3,0)</f>
        <v>6.17</v>
      </c>
      <c r="K7" s="70">
        <f>IF(G7&gt;0,$G$3,0)</f>
        <v>4.32</v>
      </c>
      <c r="L7" s="71">
        <f t="shared" ref="L7:L8" si="2">J7*(H7-I7)+I7*K7</f>
        <v>0</v>
      </c>
      <c r="M7" s="71">
        <f>L7+L8</f>
        <v>595103.90399999975</v>
      </c>
      <c r="N7" s="72">
        <v>8.4239417043940584E-2</v>
      </c>
      <c r="O7" s="73">
        <f>H7*N7</f>
        <v>0</v>
      </c>
      <c r="P7" s="68">
        <f t="shared" ref="P7:P8" si="3">IF($O$19&gt;0,O7*$H$19/$O$19,0)</f>
        <v>0</v>
      </c>
      <c r="Q7" s="16">
        <f>J7*P7</f>
        <v>0</v>
      </c>
      <c r="R7" s="74">
        <f t="shared" ref="R7:R8" si="4">IF(P7&gt;0,L7+Q7,L7)</f>
        <v>0</v>
      </c>
      <c r="S7" s="91">
        <f t="shared" ref="S7" si="5">R7+R8</f>
        <v>596397.70916130615</v>
      </c>
      <c r="T7" s="22">
        <f>L7+Q7</f>
        <v>0</v>
      </c>
      <c r="U7" s="23">
        <f t="shared" ref="U7:U14" si="6">IF($P$2&gt;0,H7/$P$2,0)</f>
        <v>0</v>
      </c>
    </row>
    <row r="8" spans="1:21" x14ac:dyDescent="0.3">
      <c r="A8" s="76"/>
      <c r="B8" s="77"/>
      <c r="C8" s="78"/>
      <c r="D8" s="79">
        <f>Окт!E8</f>
        <v>2936.84</v>
      </c>
      <c r="E8" s="80">
        <v>3740.6</v>
      </c>
      <c r="F8" s="81">
        <f t="shared" si="0"/>
        <v>803.75999999999976</v>
      </c>
      <c r="G8" s="82">
        <f>600/5</f>
        <v>120</v>
      </c>
      <c r="H8" s="83">
        <f t="shared" si="1"/>
        <v>96451.199999999968</v>
      </c>
      <c r="I8" s="158"/>
      <c r="J8" s="85">
        <f t="shared" ref="J8" si="7">IF(G8&gt;0,$C$3,0)</f>
        <v>6.17</v>
      </c>
      <c r="K8" s="135">
        <f t="shared" ref="K8" si="8">IF(G8&gt;0,$G$3,0)</f>
        <v>4.32</v>
      </c>
      <c r="L8" s="86">
        <f t="shared" si="2"/>
        <v>595103.90399999975</v>
      </c>
      <c r="M8" s="86"/>
      <c r="N8" s="87">
        <v>8.4239417043940584E-2</v>
      </c>
      <c r="O8" s="83">
        <f>H8*N8</f>
        <v>8124.9928611885198</v>
      </c>
      <c r="P8" s="83">
        <f t="shared" si="3"/>
        <v>209.69289486327872</v>
      </c>
      <c r="Q8" s="88">
        <f>J8*P8</f>
        <v>1293.8051613064297</v>
      </c>
      <c r="R8" s="89">
        <f t="shared" si="4"/>
        <v>596397.70916130615</v>
      </c>
      <c r="S8" s="90"/>
      <c r="T8" s="22"/>
      <c r="U8" s="23">
        <f t="shared" si="6"/>
        <v>3111.3290322580633</v>
      </c>
    </row>
    <row r="9" spans="1:21" x14ac:dyDescent="0.3">
      <c r="A9" s="61" t="s">
        <v>54</v>
      </c>
      <c r="B9" s="62" t="s">
        <v>55</v>
      </c>
      <c r="C9" s="63" t="s">
        <v>56</v>
      </c>
      <c r="D9" s="64">
        <f>Окт!E9</f>
        <v>19571</v>
      </c>
      <c r="E9" s="65">
        <v>20415</v>
      </c>
      <c r="F9" s="66">
        <f t="shared" ref="F9:F15" si="9">IF(E9&gt;0,E9-D9,0)</f>
        <v>844</v>
      </c>
      <c r="G9" s="67">
        <v>50</v>
      </c>
      <c r="H9" s="68">
        <f>F9*G9+F10*G10</f>
        <v>42200</v>
      </c>
      <c r="I9" s="69"/>
      <c r="J9" s="70">
        <f t="shared" ref="J9:J16" si="10">IF(G9&gt;0,$C$3,0)</f>
        <v>6.17</v>
      </c>
      <c r="K9" s="70">
        <f t="shared" ref="K9:K16" si="11">IF(G9&gt;0,$G$3,0)</f>
        <v>4.32</v>
      </c>
      <c r="L9" s="71">
        <f t="shared" ref="L9:L13" si="12">J9*(H9-I9)+I9*K9</f>
        <v>260374</v>
      </c>
      <c r="M9" s="71">
        <f t="shared" ref="M9" si="13">L9+L10</f>
        <v>260374</v>
      </c>
      <c r="N9" s="72">
        <v>8.4239417043940584E-2</v>
      </c>
      <c r="O9" s="73">
        <f>H9*N9</f>
        <v>3554.9033992542927</v>
      </c>
      <c r="P9" s="68">
        <f t="shared" ref="P9" si="14">IF($O$19&gt;0,O9*$H$19/$O$19,0)</f>
        <v>91.746294117961867</v>
      </c>
      <c r="Q9" s="16">
        <f>J9*P9</f>
        <v>566.07463470782466</v>
      </c>
      <c r="R9" s="74">
        <f t="shared" ref="R9" si="15">IF(P9&gt;0,L9+Q9,L9)</f>
        <v>260940.07463470782</v>
      </c>
      <c r="S9" s="91">
        <f t="shared" ref="S9" si="16">R9+R10</f>
        <v>260940.07463470782</v>
      </c>
      <c r="T9" s="22">
        <f t="shared" ref="T9" si="17">L9+Q9</f>
        <v>260940.07463470782</v>
      </c>
      <c r="U9" s="23">
        <f t="shared" si="6"/>
        <v>1361.2903225806451</v>
      </c>
    </row>
    <row r="10" spans="1:21" x14ac:dyDescent="0.3">
      <c r="A10" s="92" t="s">
        <v>57</v>
      </c>
      <c r="B10" s="77"/>
      <c r="C10" s="78"/>
      <c r="D10" s="79">
        <f>Окт!E10</f>
        <v>0</v>
      </c>
      <c r="E10" s="80"/>
      <c r="F10" s="93"/>
      <c r="G10" s="82"/>
      <c r="H10" s="83"/>
      <c r="I10" s="84"/>
      <c r="J10" s="85">
        <f t="shared" si="10"/>
        <v>0</v>
      </c>
      <c r="K10" s="135">
        <f t="shared" si="11"/>
        <v>0</v>
      </c>
      <c r="L10" s="86">
        <f t="shared" si="12"/>
        <v>0</v>
      </c>
      <c r="M10" s="86"/>
      <c r="N10" s="87"/>
      <c r="O10" s="83"/>
      <c r="P10" s="83"/>
      <c r="Q10" s="88"/>
      <c r="R10" s="89"/>
      <c r="S10" s="90"/>
      <c r="T10" s="22"/>
      <c r="U10" s="23">
        <f t="shared" si="6"/>
        <v>0</v>
      </c>
    </row>
    <row r="11" spans="1:21" x14ac:dyDescent="0.3">
      <c r="A11" s="94" t="s">
        <v>58</v>
      </c>
      <c r="B11" s="62" t="s">
        <v>55</v>
      </c>
      <c r="C11" s="63" t="s">
        <v>59</v>
      </c>
      <c r="D11" s="64">
        <f>Окт!E11</f>
        <v>93320</v>
      </c>
      <c r="E11" s="95">
        <v>94724.9</v>
      </c>
      <c r="F11" s="66">
        <f t="shared" si="9"/>
        <v>1404.8999999999942</v>
      </c>
      <c r="G11" s="67">
        <v>60</v>
      </c>
      <c r="H11" s="68">
        <f t="shared" ref="H11:H15" si="18">F11*G11</f>
        <v>84293.999999999651</v>
      </c>
      <c r="I11" s="69"/>
      <c r="J11" s="70">
        <f t="shared" si="10"/>
        <v>6.17</v>
      </c>
      <c r="K11" s="70">
        <f t="shared" si="11"/>
        <v>4.32</v>
      </c>
      <c r="L11" s="71">
        <f t="shared" si="12"/>
        <v>520093.97999999783</v>
      </c>
      <c r="M11" s="71">
        <f t="shared" ref="M11" si="19">L11+L12</f>
        <v>520093.97999999783</v>
      </c>
      <c r="N11" s="72">
        <v>9.3867222073683532E-2</v>
      </c>
      <c r="O11" s="73">
        <f>H11*N11</f>
        <v>7912.4436174790471</v>
      </c>
      <c r="P11" s="68">
        <f t="shared" ref="P11:P14" si="20">IF($O$19&gt;0,O11*$H$19/$O$19,0)</f>
        <v>204.20734343253935</v>
      </c>
      <c r="Q11" s="16">
        <f>J11*P11</f>
        <v>1259.9593089787677</v>
      </c>
      <c r="R11" s="74">
        <f t="shared" ref="R11:R14" si="21">IF(P11&gt;0,L11+Q11,L11)</f>
        <v>521353.93930897658</v>
      </c>
      <c r="S11" s="91">
        <f t="shared" ref="S11" si="22">R11+R12</f>
        <v>521353.93930897658</v>
      </c>
      <c r="T11" s="22">
        <f t="shared" ref="T11:T14" si="23">L11+Q11</f>
        <v>521353.93930897658</v>
      </c>
      <c r="U11" s="23">
        <f t="shared" si="6"/>
        <v>2719.1612903225696</v>
      </c>
    </row>
    <row r="12" spans="1:21" x14ac:dyDescent="0.3">
      <c r="A12" s="76"/>
      <c r="B12" s="77" t="s">
        <v>55</v>
      </c>
      <c r="C12" s="78" t="s">
        <v>60</v>
      </c>
      <c r="D12" s="79">
        <f>Окт!E12</f>
        <v>3</v>
      </c>
      <c r="E12" s="80">
        <v>3</v>
      </c>
      <c r="F12" s="81">
        <f t="shared" si="9"/>
        <v>0</v>
      </c>
      <c r="G12" s="82">
        <f>400/5</f>
        <v>80</v>
      </c>
      <c r="H12" s="83">
        <f t="shared" si="18"/>
        <v>0</v>
      </c>
      <c r="I12" s="84"/>
      <c r="J12" s="85">
        <f t="shared" si="10"/>
        <v>6.17</v>
      </c>
      <c r="K12" s="135">
        <f t="shared" si="11"/>
        <v>4.32</v>
      </c>
      <c r="L12" s="86">
        <f t="shared" si="12"/>
        <v>0</v>
      </c>
      <c r="M12" s="86"/>
      <c r="N12" s="87">
        <v>9.3867222073683532E-2</v>
      </c>
      <c r="O12" s="83">
        <f>H12*N12</f>
        <v>0</v>
      </c>
      <c r="P12" s="83">
        <f t="shared" si="20"/>
        <v>0</v>
      </c>
      <c r="Q12" s="88">
        <f>J12*P12</f>
        <v>0</v>
      </c>
      <c r="R12" s="89">
        <f t="shared" si="21"/>
        <v>0</v>
      </c>
      <c r="S12" s="90"/>
      <c r="T12" s="22">
        <f t="shared" si="23"/>
        <v>0</v>
      </c>
      <c r="U12" s="23">
        <f t="shared" si="6"/>
        <v>0</v>
      </c>
    </row>
    <row r="13" spans="1:21" x14ac:dyDescent="0.3">
      <c r="A13" s="94" t="s">
        <v>61</v>
      </c>
      <c r="B13" s="62" t="s">
        <v>55</v>
      </c>
      <c r="C13" s="63" t="s">
        <v>62</v>
      </c>
      <c r="D13" s="64">
        <f>Окт!E13</f>
        <v>7770.7</v>
      </c>
      <c r="E13" s="95">
        <v>7770.7</v>
      </c>
      <c r="F13" s="66">
        <f t="shared" si="9"/>
        <v>0</v>
      </c>
      <c r="G13" s="67">
        <v>40</v>
      </c>
      <c r="H13" s="68">
        <f t="shared" si="18"/>
        <v>0</v>
      </c>
      <c r="I13" s="96"/>
      <c r="J13" s="70">
        <f t="shared" si="10"/>
        <v>6.17</v>
      </c>
      <c r="K13" s="70">
        <f t="shared" si="11"/>
        <v>4.32</v>
      </c>
      <c r="L13" s="71">
        <f t="shared" si="12"/>
        <v>0</v>
      </c>
      <c r="M13" s="71">
        <f t="shared" ref="M13" si="24">L13+L14</f>
        <v>475386.16000000015</v>
      </c>
      <c r="N13" s="72">
        <v>9.3867222073683532E-2</v>
      </c>
      <c r="O13" s="73">
        <f>H13*N13</f>
        <v>0</v>
      </c>
      <c r="P13" s="68">
        <f t="shared" si="20"/>
        <v>0</v>
      </c>
      <c r="Q13" s="16">
        <f>J13*P13</f>
        <v>0</v>
      </c>
      <c r="R13" s="74">
        <f t="shared" si="21"/>
        <v>0</v>
      </c>
      <c r="S13" s="91">
        <f t="shared" ref="S13" si="25">R13+R14</f>
        <v>476537.8118950128</v>
      </c>
      <c r="T13" s="22">
        <f t="shared" si="23"/>
        <v>0</v>
      </c>
      <c r="U13" s="23">
        <f t="shared" si="6"/>
        <v>0</v>
      </c>
    </row>
    <row r="14" spans="1:21" x14ac:dyDescent="0.3">
      <c r="A14" s="76"/>
      <c r="B14" s="77" t="s">
        <v>55</v>
      </c>
      <c r="C14" s="78" t="s">
        <v>63</v>
      </c>
      <c r="D14" s="79">
        <f>Окт!E14</f>
        <v>11847.9</v>
      </c>
      <c r="E14" s="80">
        <v>12811</v>
      </c>
      <c r="F14" s="81">
        <f t="shared" si="9"/>
        <v>963.10000000000036</v>
      </c>
      <c r="G14" s="82">
        <f>400/5</f>
        <v>80</v>
      </c>
      <c r="H14" s="83">
        <f t="shared" si="18"/>
        <v>77048.000000000029</v>
      </c>
      <c r="I14" s="84"/>
      <c r="J14" s="85">
        <f t="shared" si="10"/>
        <v>6.17</v>
      </c>
      <c r="K14" s="135">
        <f t="shared" si="11"/>
        <v>4.32</v>
      </c>
      <c r="L14" s="86">
        <f>J14*(H14-I14)+I14*K14</f>
        <v>475386.16000000015</v>
      </c>
      <c r="M14" s="86"/>
      <c r="N14" s="87">
        <v>9.3867222073683532E-2</v>
      </c>
      <c r="O14" s="83">
        <f>H14*N14</f>
        <v>7232.2817263331717</v>
      </c>
      <c r="P14" s="83">
        <f t="shared" si="20"/>
        <v>186.6534675871398</v>
      </c>
      <c r="Q14" s="88">
        <f>J14*P14</f>
        <v>1151.6518950126526</v>
      </c>
      <c r="R14" s="89">
        <f t="shared" si="21"/>
        <v>476537.8118950128</v>
      </c>
      <c r="S14" s="98"/>
      <c r="T14" s="22">
        <f t="shared" si="23"/>
        <v>476537.8118950128</v>
      </c>
      <c r="U14" s="23">
        <f t="shared" si="6"/>
        <v>2485.4193548387107</v>
      </c>
    </row>
    <row r="15" spans="1:21" x14ac:dyDescent="0.3">
      <c r="A15" s="94" t="s">
        <v>64</v>
      </c>
      <c r="B15" s="62" t="s">
        <v>52</v>
      </c>
      <c r="C15" s="63" t="s">
        <v>65</v>
      </c>
      <c r="D15" s="99">
        <f>Окт!E15</f>
        <v>4374.0929999999998</v>
      </c>
      <c r="E15" s="100">
        <v>4574.55</v>
      </c>
      <c r="F15" s="101">
        <f t="shared" si="9"/>
        <v>200.45700000000033</v>
      </c>
      <c r="G15" s="102">
        <v>1500</v>
      </c>
      <c r="H15" s="68">
        <f t="shared" si="18"/>
        <v>300685.50000000052</v>
      </c>
      <c r="I15" s="69">
        <f>SUM(I7:I14)</f>
        <v>0</v>
      </c>
      <c r="J15" s="70">
        <f t="shared" si="10"/>
        <v>6.17</v>
      </c>
      <c r="K15" s="70">
        <f t="shared" si="11"/>
        <v>4.32</v>
      </c>
      <c r="L15" s="103">
        <f t="shared" ref="L15:L16" si="26">J15*(H15-I15)+I15*K15</f>
        <v>1855229.5350000032</v>
      </c>
      <c r="M15" s="103"/>
      <c r="N15" s="72"/>
      <c r="O15" s="73"/>
      <c r="P15" s="68"/>
      <c r="Q15" s="16"/>
      <c r="R15" s="103"/>
      <c r="S15" s="104"/>
      <c r="T15" s="22"/>
      <c r="U15" s="23"/>
    </row>
    <row r="16" spans="1:21" x14ac:dyDescent="0.3">
      <c r="A16" s="76" t="s">
        <v>66</v>
      </c>
      <c r="B16" s="77"/>
      <c r="C16" s="78"/>
      <c r="D16" s="105">
        <f>Окт!E16</f>
        <v>0</v>
      </c>
      <c r="E16" s="106"/>
      <c r="F16" s="107"/>
      <c r="G16" s="108"/>
      <c r="H16" s="83"/>
      <c r="I16" s="84"/>
      <c r="J16" s="85">
        <f t="shared" si="10"/>
        <v>0</v>
      </c>
      <c r="K16" s="135">
        <f t="shared" si="11"/>
        <v>0</v>
      </c>
      <c r="L16" s="109">
        <f t="shared" si="26"/>
        <v>0</v>
      </c>
      <c r="M16" s="109"/>
      <c r="N16" s="87"/>
      <c r="O16" s="83"/>
      <c r="P16" s="83"/>
      <c r="Q16" s="88"/>
      <c r="R16" s="110"/>
      <c r="S16" s="111"/>
      <c r="T16" s="22"/>
      <c r="U16" s="23"/>
    </row>
    <row r="17" spans="1:21" x14ac:dyDescent="0.3">
      <c r="A17" s="20"/>
      <c r="B17" s="20"/>
      <c r="C17" s="20"/>
      <c r="D17" s="24"/>
      <c r="E17" s="24"/>
      <c r="F17" s="24"/>
      <c r="G17" s="112"/>
      <c r="H17" s="26"/>
      <c r="I17" s="26"/>
      <c r="J17" s="16"/>
      <c r="K17" s="16"/>
      <c r="L17" s="113"/>
      <c r="M17" s="113"/>
      <c r="N17" s="17"/>
      <c r="O17" s="16"/>
      <c r="P17" s="16"/>
      <c r="Q17" s="16"/>
      <c r="R17" s="16"/>
      <c r="S17" s="16"/>
      <c r="T17" s="22"/>
      <c r="U17" s="23"/>
    </row>
    <row r="18" spans="1:21" x14ac:dyDescent="0.3">
      <c r="A18" s="114"/>
      <c r="B18" s="114"/>
      <c r="C18" s="114"/>
      <c r="D18" s="115"/>
      <c r="E18" s="24"/>
      <c r="F18" s="24"/>
      <c r="G18" s="116" t="s">
        <v>67</v>
      </c>
      <c r="H18" s="26">
        <f>SUM(H7:H14)</f>
        <v>299993.1999999996</v>
      </c>
      <c r="I18" s="26"/>
      <c r="J18" s="20" t="s">
        <v>46</v>
      </c>
      <c r="K18" s="20"/>
      <c r="L18" s="16"/>
      <c r="M18" s="16"/>
      <c r="N18" s="17"/>
      <c r="O18" s="16"/>
      <c r="P18" s="16"/>
      <c r="Q18" s="16"/>
      <c r="R18" s="16"/>
      <c r="S18" s="16"/>
      <c r="T18" s="22"/>
      <c r="U18" s="23"/>
    </row>
    <row r="19" spans="1:21" x14ac:dyDescent="0.3">
      <c r="A19" s="117"/>
      <c r="B19" s="117"/>
      <c r="C19" s="117"/>
      <c r="D19" s="118"/>
      <c r="E19" s="24"/>
      <c r="F19" s="24"/>
      <c r="G19" s="116" t="s">
        <v>68</v>
      </c>
      <c r="H19" s="26">
        <f>IF(H15&gt;0,H15-H18,0)</f>
        <v>692.30000000091968</v>
      </c>
      <c r="I19" s="26"/>
      <c r="J19" s="20" t="s">
        <v>46</v>
      </c>
      <c r="K19" s="20"/>
      <c r="L19" s="16"/>
      <c r="M19" s="16"/>
      <c r="N19" s="17"/>
      <c r="O19" s="26">
        <f>SUM(O7:O14)</f>
        <v>26824.62160425503</v>
      </c>
      <c r="P19" s="16">
        <f>SUM(P7:P14)</f>
        <v>692.30000000091968</v>
      </c>
      <c r="Q19" s="16">
        <f>SUM(Q7:Q16)</f>
        <v>4271.4910000056743</v>
      </c>
      <c r="R19" s="119">
        <f>SUM(R7:R14)</f>
        <v>1855229.5350000034</v>
      </c>
      <c r="S19" s="119"/>
      <c r="T19" s="120">
        <f>SUM(T7:T14)</f>
        <v>1258831.8258386971</v>
      </c>
      <c r="U19" s="20"/>
    </row>
    <row r="20" spans="1:21" x14ac:dyDescent="0.3">
      <c r="A20" s="117"/>
      <c r="B20" s="117"/>
      <c r="C20" s="117"/>
      <c r="D20" s="118"/>
      <c r="E20" s="24"/>
      <c r="F20" s="24"/>
      <c r="G20" s="116" t="s">
        <v>69</v>
      </c>
      <c r="H20" s="17">
        <f>IF(H15&gt;0,H19/H15,0)</f>
        <v>2.3024056697144306E-3</v>
      </c>
      <c r="I20" s="17"/>
      <c r="J20" s="16"/>
      <c r="K20" s="16"/>
      <c r="L20" s="16"/>
      <c r="M20" s="16"/>
      <c r="N20" s="17"/>
      <c r="O20" s="16"/>
      <c r="P20" s="16"/>
      <c r="Q20" s="16"/>
      <c r="R20" s="16"/>
      <c r="S20" s="16"/>
      <c r="T20" s="22"/>
      <c r="U20" s="20"/>
    </row>
    <row r="21" spans="1:21" x14ac:dyDescent="0.3">
      <c r="A21" s="117"/>
      <c r="B21" s="117"/>
      <c r="C21" s="117"/>
      <c r="D21" s="118"/>
      <c r="E21" s="24"/>
      <c r="F21" s="24"/>
      <c r="G21" s="25"/>
      <c r="H21" s="16"/>
      <c r="I21" s="16"/>
      <c r="J21" s="16"/>
      <c r="K21" s="16"/>
      <c r="L21" s="16"/>
      <c r="M21" s="16"/>
      <c r="N21" s="17"/>
      <c r="O21" s="16"/>
      <c r="P21" s="16"/>
      <c r="Q21" s="16"/>
      <c r="R21" s="16"/>
      <c r="S21" s="16"/>
      <c r="T21" s="22"/>
      <c r="U21" s="20"/>
    </row>
    <row r="22" spans="1:21" x14ac:dyDescent="0.3">
      <c r="A22" s="117"/>
      <c r="B22" s="117"/>
      <c r="C22" s="117"/>
      <c r="D22" s="118"/>
      <c r="E22" s="24"/>
      <c r="F22" s="24"/>
      <c r="G22" s="25"/>
      <c r="H22" s="16"/>
      <c r="I22" s="16"/>
      <c r="J22" s="16"/>
      <c r="K22" s="16"/>
      <c r="L22" s="16"/>
      <c r="M22" s="16"/>
      <c r="N22" s="17"/>
      <c r="O22" s="16"/>
      <c r="P22" s="16"/>
      <c r="Q22" s="16"/>
      <c r="R22" s="121" t="s">
        <v>70</v>
      </c>
      <c r="S22" s="122" t="s">
        <v>71</v>
      </c>
      <c r="T22" s="122" t="s">
        <v>72</v>
      </c>
      <c r="U22" s="20"/>
    </row>
    <row r="23" spans="1:21" x14ac:dyDescent="0.3">
      <c r="A23" s="123"/>
      <c r="B23" s="123"/>
      <c r="C23" s="123"/>
      <c r="D23" s="124"/>
      <c r="E23" s="124"/>
      <c r="F23" s="124"/>
      <c r="G23" s="125" t="s">
        <v>73</v>
      </c>
      <c r="H23" s="119">
        <f>H11+H12+H13+H14</f>
        <v>161341.99999999968</v>
      </c>
      <c r="I23" s="119"/>
      <c r="J23" s="119"/>
      <c r="K23" s="119"/>
      <c r="L23" s="119"/>
      <c r="M23" s="119"/>
      <c r="N23" s="123"/>
      <c r="O23" s="126" t="s">
        <v>74</v>
      </c>
      <c r="P23" s="127"/>
      <c r="Q23" s="119"/>
      <c r="R23" s="75" t="s">
        <v>75</v>
      </c>
      <c r="S23" s="128"/>
      <c r="T23" s="129"/>
      <c r="U23" s="123"/>
    </row>
    <row r="24" spans="1:21" x14ac:dyDescent="0.3">
      <c r="A24" s="130"/>
      <c r="B24" s="130"/>
      <c r="C24" s="130"/>
      <c r="D24" s="124"/>
      <c r="E24" s="124"/>
      <c r="F24" s="124"/>
      <c r="G24" s="125" t="s">
        <v>76</v>
      </c>
      <c r="H24" s="119">
        <f>L11+L12+L13+L14</f>
        <v>995480.13999999803</v>
      </c>
      <c r="I24" s="119"/>
      <c r="J24" s="119"/>
      <c r="K24" s="119"/>
      <c r="L24" s="119"/>
      <c r="M24" s="119"/>
      <c r="N24" s="131"/>
      <c r="O24" s="126" t="s">
        <v>77</v>
      </c>
      <c r="P24" s="127"/>
      <c r="Q24" s="119"/>
      <c r="R24" s="98">
        <f>M13</f>
        <v>475386.16000000015</v>
      </c>
      <c r="S24" s="132"/>
      <c r="T24" s="98">
        <f>IF(S24&gt;0,R24-S24,0)</f>
        <v>0</v>
      </c>
      <c r="U24" s="117"/>
    </row>
    <row r="25" spans="1:21" x14ac:dyDescent="0.3">
      <c r="A25" s="133"/>
      <c r="B25" s="133"/>
      <c r="C25" s="133"/>
      <c r="D25" s="24"/>
      <c r="E25" s="24"/>
      <c r="F25" s="24"/>
      <c r="G25" s="25"/>
      <c r="H25" s="16"/>
      <c r="I25" s="16"/>
      <c r="J25" s="16"/>
      <c r="K25" s="16"/>
      <c r="L25" s="16"/>
      <c r="M25" s="16"/>
      <c r="N25" s="17"/>
      <c r="O25" s="16"/>
      <c r="P25" s="16"/>
      <c r="Q25" s="16"/>
      <c r="R25" s="104" t="s">
        <v>78</v>
      </c>
      <c r="S25" s="128"/>
      <c r="T25" s="134"/>
      <c r="U25" s="117"/>
    </row>
    <row r="26" spans="1:21" x14ac:dyDescent="0.3">
      <c r="A26" s="20"/>
      <c r="B26" s="20"/>
      <c r="C26" s="20"/>
      <c r="D26" s="24"/>
      <c r="E26" s="24"/>
      <c r="F26" s="24"/>
      <c r="G26" s="25"/>
      <c r="H26" s="26"/>
      <c r="I26" s="26"/>
      <c r="J26" s="16"/>
      <c r="K26" s="16"/>
      <c r="L26" s="16"/>
      <c r="M26" s="16"/>
      <c r="N26" s="17"/>
      <c r="O26" s="16"/>
      <c r="P26" s="16"/>
      <c r="Q26" s="16"/>
      <c r="R26" s="111">
        <f>M11</f>
        <v>520093.97999999783</v>
      </c>
      <c r="S26" s="135"/>
      <c r="T26" s="111">
        <f>IF(S26&gt;0,R26-S26,0)</f>
        <v>0</v>
      </c>
      <c r="U26" s="117"/>
    </row>
    <row r="27" spans="1:21" x14ac:dyDescent="0.3">
      <c r="A27" s="20"/>
      <c r="B27" s="20"/>
      <c r="C27" s="20"/>
      <c r="D27" s="24" t="s">
        <v>79</v>
      </c>
      <c r="E27" s="24"/>
      <c r="F27" s="24"/>
      <c r="G27" s="25"/>
      <c r="H27" s="26"/>
      <c r="I27" s="26"/>
      <c r="J27" s="16"/>
      <c r="K27" s="16"/>
      <c r="L27" s="16"/>
      <c r="M27" s="16"/>
      <c r="N27" s="17"/>
      <c r="O27" s="16"/>
      <c r="P27" s="16"/>
      <c r="Q27" s="16"/>
      <c r="R27" s="104" t="s">
        <v>80</v>
      </c>
      <c r="S27" s="136"/>
      <c r="T27" s="134"/>
      <c r="U27" s="117"/>
    </row>
    <row r="28" spans="1:21" x14ac:dyDescent="0.3">
      <c r="A28" s="20"/>
      <c r="B28" s="20"/>
      <c r="C28" s="20"/>
      <c r="D28" s="24" t="s">
        <v>81</v>
      </c>
      <c r="E28" s="24"/>
      <c r="F28" s="24"/>
      <c r="G28" s="25"/>
      <c r="H28" s="26"/>
      <c r="I28" s="26"/>
      <c r="J28" s="16"/>
      <c r="K28" s="16"/>
      <c r="L28" s="16" t="s">
        <v>82</v>
      </c>
      <c r="M28" s="16"/>
      <c r="N28" s="17"/>
      <c r="O28" s="16"/>
      <c r="P28" s="16"/>
      <c r="Q28" s="16"/>
      <c r="R28" s="111">
        <f>R24+R26</f>
        <v>995480.13999999803</v>
      </c>
      <c r="S28" s="135"/>
      <c r="T28" s="111">
        <f>T24+T26</f>
        <v>0</v>
      </c>
      <c r="U28" s="117"/>
    </row>
  </sheetData>
  <mergeCells count="3">
    <mergeCell ref="B4:C4"/>
    <mergeCell ref="D4:E4"/>
    <mergeCell ref="D5: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6047A-DECD-40B6-92FC-90877A5C7D30}">
  <dimension ref="A1:U28"/>
  <sheetViews>
    <sheetView showZeros="0" workbookViewId="0">
      <selection activeCell="F7" sqref="F7:S8"/>
    </sheetView>
  </sheetViews>
  <sheetFormatPr defaultRowHeight="14.4" x14ac:dyDescent="0.3"/>
  <cols>
    <col min="1" max="1" width="9.109375" customWidth="1"/>
    <col min="2" max="2" width="11.44140625" bestFit="1" customWidth="1"/>
    <col min="3" max="3" width="13.33203125" bestFit="1" customWidth="1"/>
    <col min="4" max="5" width="9.109375" customWidth="1"/>
    <col min="6" max="6" width="7.21875" bestFit="1" customWidth="1"/>
    <col min="7" max="7" width="6.5546875" customWidth="1"/>
    <col min="8" max="8" width="9.21875" bestFit="1" customWidth="1"/>
    <col min="9" max="9" width="7.88671875" bestFit="1" customWidth="1"/>
    <col min="10" max="11" width="5.33203125" bestFit="1" customWidth="1"/>
    <col min="12" max="12" width="11.21875" customWidth="1"/>
    <col min="13" max="13" width="11.6640625" bestFit="1" customWidth="1"/>
    <col min="14" max="14" width="6.44140625" bestFit="1" customWidth="1"/>
    <col min="15" max="15" width="7.88671875" customWidth="1"/>
    <col min="16" max="16" width="9.21875" bestFit="1" customWidth="1"/>
    <col min="17" max="17" width="8.77734375" bestFit="1" customWidth="1"/>
    <col min="18" max="19" width="10.5546875" bestFit="1" customWidth="1"/>
    <col min="20" max="20" width="10.109375" bestFit="1" customWidth="1"/>
    <col min="21" max="21" width="12.109375" bestFit="1" customWidth="1"/>
  </cols>
  <sheetData>
    <row r="1" spans="1:21" ht="15.6" x14ac:dyDescent="0.3">
      <c r="A1" s="1" t="s">
        <v>0</v>
      </c>
      <c r="B1" s="1"/>
      <c r="C1" s="1"/>
      <c r="D1" s="2"/>
      <c r="E1" s="2"/>
      <c r="F1" s="2"/>
      <c r="G1" s="1"/>
      <c r="H1" s="3"/>
      <c r="I1" s="3"/>
      <c r="J1" s="4"/>
      <c r="K1" s="4"/>
      <c r="L1" s="5"/>
      <c r="M1" s="5"/>
      <c r="N1" s="6"/>
      <c r="O1" s="7"/>
      <c r="P1" s="7"/>
      <c r="Q1" s="4"/>
      <c r="R1" s="4"/>
      <c r="S1" s="4"/>
      <c r="T1" s="8"/>
      <c r="U1" s="9"/>
    </row>
    <row r="2" spans="1:21" x14ac:dyDescent="0.3">
      <c r="A2" s="10" t="s">
        <v>1</v>
      </c>
      <c r="B2" s="11" t="s">
        <v>95</v>
      </c>
      <c r="C2" s="12" t="s">
        <v>3</v>
      </c>
      <c r="D2" s="13">
        <v>2022</v>
      </c>
      <c r="E2" s="14" t="s">
        <v>4</v>
      </c>
      <c r="F2" s="15"/>
      <c r="G2" s="16"/>
      <c r="H2" s="16"/>
      <c r="I2" s="16"/>
      <c r="J2" s="16"/>
      <c r="K2" s="16"/>
      <c r="L2" s="17"/>
      <c r="M2" s="16"/>
      <c r="N2" s="16"/>
      <c r="O2" s="18" t="s">
        <v>5</v>
      </c>
      <c r="P2" s="19"/>
      <c r="Q2" s="20"/>
      <c r="R2" s="20"/>
      <c r="S2" s="21"/>
      <c r="T2" s="22"/>
      <c r="U2" s="23"/>
    </row>
    <row r="3" spans="1:21" s="139" customFormat="1" ht="12" x14ac:dyDescent="0.25">
      <c r="A3" s="138" t="s">
        <v>85</v>
      </c>
      <c r="B3" s="20"/>
      <c r="C3" s="140">
        <f>Июл!C3</f>
        <v>6.17</v>
      </c>
      <c r="D3" s="24"/>
      <c r="E3" s="137" t="s">
        <v>86</v>
      </c>
      <c r="F3" s="24"/>
      <c r="G3" s="140">
        <f>Июл!G3</f>
        <v>4.32</v>
      </c>
      <c r="H3" s="26"/>
      <c r="I3" s="26"/>
      <c r="J3" s="16"/>
      <c r="K3" s="16"/>
      <c r="L3" s="16"/>
      <c r="M3" s="16"/>
      <c r="N3" s="17"/>
      <c r="O3" s="16"/>
      <c r="P3" s="16"/>
      <c r="Q3" s="16"/>
      <c r="R3" s="16"/>
      <c r="S3" s="16"/>
      <c r="T3" s="22"/>
      <c r="U3" s="23"/>
    </row>
    <row r="4" spans="1:21" x14ac:dyDescent="0.3">
      <c r="A4" s="27" t="s">
        <v>6</v>
      </c>
      <c r="B4" s="199" t="s">
        <v>7</v>
      </c>
      <c r="C4" s="200"/>
      <c r="D4" s="205" t="s">
        <v>8</v>
      </c>
      <c r="E4" s="206"/>
      <c r="F4" s="28" t="s">
        <v>9</v>
      </c>
      <c r="G4" s="29" t="s">
        <v>10</v>
      </c>
      <c r="H4" s="30" t="s">
        <v>11</v>
      </c>
      <c r="I4" s="30" t="s">
        <v>12</v>
      </c>
      <c r="J4" s="31" t="s">
        <v>13</v>
      </c>
      <c r="K4" s="32" t="s">
        <v>14</v>
      </c>
      <c r="L4" s="33" t="s">
        <v>15</v>
      </c>
      <c r="M4" s="33" t="s">
        <v>16</v>
      </c>
      <c r="N4" s="34" t="s">
        <v>17</v>
      </c>
      <c r="O4" s="35" t="s">
        <v>18</v>
      </c>
      <c r="P4" s="35" t="s">
        <v>19</v>
      </c>
      <c r="Q4" s="35" t="s">
        <v>15</v>
      </c>
      <c r="R4" s="36" t="s">
        <v>20</v>
      </c>
      <c r="S4" s="37" t="s">
        <v>21</v>
      </c>
      <c r="T4" s="38" t="s">
        <v>22</v>
      </c>
      <c r="U4" s="23" t="s">
        <v>23</v>
      </c>
    </row>
    <row r="5" spans="1:21" x14ac:dyDescent="0.3">
      <c r="A5" s="39"/>
      <c r="B5" s="27" t="s">
        <v>24</v>
      </c>
      <c r="C5" s="27" t="s">
        <v>25</v>
      </c>
      <c r="D5" s="207" t="s">
        <v>26</v>
      </c>
      <c r="E5" s="208"/>
      <c r="F5" s="40"/>
      <c r="G5" s="41" t="s">
        <v>27</v>
      </c>
      <c r="H5" s="39" t="s">
        <v>28</v>
      </c>
      <c r="I5" s="39" t="s">
        <v>29</v>
      </c>
      <c r="J5" s="42" t="s">
        <v>30</v>
      </c>
      <c r="K5" s="43" t="s">
        <v>31</v>
      </c>
      <c r="L5" s="44" t="s">
        <v>32</v>
      </c>
      <c r="M5" s="44" t="s">
        <v>33</v>
      </c>
      <c r="N5" s="45" t="s">
        <v>34</v>
      </c>
      <c r="O5" s="46" t="s">
        <v>35</v>
      </c>
      <c r="P5" s="46" t="s">
        <v>36</v>
      </c>
      <c r="Q5" s="46" t="s">
        <v>37</v>
      </c>
      <c r="R5" s="47" t="s">
        <v>38</v>
      </c>
      <c r="S5" s="48" t="s">
        <v>39</v>
      </c>
      <c r="T5" s="38" t="s">
        <v>40</v>
      </c>
      <c r="U5" s="23" t="s">
        <v>41</v>
      </c>
    </row>
    <row r="6" spans="1:21" x14ac:dyDescent="0.3">
      <c r="A6" s="49"/>
      <c r="B6" s="49" t="s">
        <v>42</v>
      </c>
      <c r="C6" s="49" t="s">
        <v>42</v>
      </c>
      <c r="D6" s="50" t="s">
        <v>43</v>
      </c>
      <c r="E6" s="51" t="s">
        <v>44</v>
      </c>
      <c r="F6" s="52"/>
      <c r="G6" s="53" t="s">
        <v>45</v>
      </c>
      <c r="H6" s="54" t="s">
        <v>46</v>
      </c>
      <c r="I6" s="54" t="s">
        <v>47</v>
      </c>
      <c r="J6" s="55" t="s">
        <v>46</v>
      </c>
      <c r="K6" s="56"/>
      <c r="L6" s="57" t="s">
        <v>48</v>
      </c>
      <c r="M6" s="57" t="s">
        <v>48</v>
      </c>
      <c r="N6" s="58"/>
      <c r="O6" s="59" t="s">
        <v>46</v>
      </c>
      <c r="P6" s="59" t="s">
        <v>46</v>
      </c>
      <c r="Q6" s="59" t="s">
        <v>48</v>
      </c>
      <c r="R6" s="60" t="s">
        <v>49</v>
      </c>
      <c r="S6" s="60" t="s">
        <v>49</v>
      </c>
      <c r="T6" s="38" t="s">
        <v>34</v>
      </c>
      <c r="U6" s="23" t="s">
        <v>50</v>
      </c>
    </row>
    <row r="7" spans="1:21" x14ac:dyDescent="0.3">
      <c r="A7" s="61" t="s">
        <v>51</v>
      </c>
      <c r="B7" s="62" t="s">
        <v>52</v>
      </c>
      <c r="C7" s="63" t="s">
        <v>53</v>
      </c>
      <c r="D7" s="64">
        <f>Ноя!E7</f>
        <v>75979.342999999993</v>
      </c>
      <c r="E7" s="65"/>
      <c r="F7" s="66">
        <f t="shared" ref="F7:F8" si="0">IF(E7&gt;0,E7-D7,0)</f>
        <v>0</v>
      </c>
      <c r="G7" s="67">
        <v>60</v>
      </c>
      <c r="H7" s="68">
        <f t="shared" ref="H7:H8" si="1">F7*G7</f>
        <v>0</v>
      </c>
      <c r="I7" s="157"/>
      <c r="J7" s="70">
        <f>IF(G7&gt;0,$C$3,0)</f>
        <v>6.17</v>
      </c>
      <c r="K7" s="70">
        <f>IF(G7&gt;0,$G$3,0)</f>
        <v>4.32</v>
      </c>
      <c r="L7" s="71">
        <f t="shared" ref="L7:L8" si="2">J7*(H7-I7)+I7*K7</f>
        <v>0</v>
      </c>
      <c r="M7" s="71">
        <f>L7+L8</f>
        <v>0</v>
      </c>
      <c r="N7" s="72">
        <v>8.4239417043940584E-2</v>
      </c>
      <c r="O7" s="73">
        <f>H7*N7</f>
        <v>0</v>
      </c>
      <c r="P7" s="68">
        <f t="shared" ref="P7:P8" si="3">IF($O$19&gt;0,O7*$H$19/$O$19,0)</f>
        <v>0</v>
      </c>
      <c r="Q7" s="16">
        <f>J7*P7</f>
        <v>0</v>
      </c>
      <c r="R7" s="74">
        <f t="shared" ref="R7:R8" si="4">IF(P7&gt;0,L7+Q7,L7)</f>
        <v>0</v>
      </c>
      <c r="S7" s="91">
        <f t="shared" ref="S7" si="5">R7+R8</f>
        <v>0</v>
      </c>
      <c r="T7" s="22">
        <f>L7+Q7</f>
        <v>0</v>
      </c>
      <c r="U7" s="23">
        <f t="shared" ref="U7:U14" si="6">IF($P$2&gt;0,H7/$P$2,0)</f>
        <v>0</v>
      </c>
    </row>
    <row r="8" spans="1:21" x14ac:dyDescent="0.3">
      <c r="A8" s="76"/>
      <c r="B8" s="77"/>
      <c r="C8" s="78"/>
      <c r="D8" s="79">
        <f>Ноя!E8</f>
        <v>3740.6</v>
      </c>
      <c r="E8" s="80"/>
      <c r="F8" s="81">
        <f t="shared" si="0"/>
        <v>0</v>
      </c>
      <c r="G8" s="82">
        <f>600/5</f>
        <v>120</v>
      </c>
      <c r="H8" s="83">
        <f t="shared" si="1"/>
        <v>0</v>
      </c>
      <c r="I8" s="158"/>
      <c r="J8" s="85">
        <f t="shared" ref="J8" si="7">IF(G8&gt;0,$C$3,0)</f>
        <v>6.17</v>
      </c>
      <c r="K8" s="135">
        <f t="shared" ref="K8" si="8">IF(G8&gt;0,$G$3,0)</f>
        <v>4.32</v>
      </c>
      <c r="L8" s="86">
        <f t="shared" si="2"/>
        <v>0</v>
      </c>
      <c r="M8" s="86"/>
      <c r="N8" s="87">
        <v>8.4239417043940584E-2</v>
      </c>
      <c r="O8" s="83">
        <f>H8*N8</f>
        <v>0</v>
      </c>
      <c r="P8" s="83">
        <f t="shared" si="3"/>
        <v>0</v>
      </c>
      <c r="Q8" s="88">
        <f>J8*P8</f>
        <v>0</v>
      </c>
      <c r="R8" s="89">
        <f t="shared" si="4"/>
        <v>0</v>
      </c>
      <c r="S8" s="90"/>
      <c r="T8" s="22"/>
      <c r="U8" s="23">
        <f t="shared" si="6"/>
        <v>0</v>
      </c>
    </row>
    <row r="9" spans="1:21" x14ac:dyDescent="0.3">
      <c r="A9" s="61" t="s">
        <v>54</v>
      </c>
      <c r="B9" s="62" t="s">
        <v>55</v>
      </c>
      <c r="C9" s="63" t="s">
        <v>56</v>
      </c>
      <c r="D9" s="64">
        <f>Ноя!E9</f>
        <v>20415</v>
      </c>
      <c r="E9" s="65"/>
      <c r="F9" s="66">
        <f t="shared" ref="F9:F15" si="9">IF(E9&gt;0,E9-D9,0)</f>
        <v>0</v>
      </c>
      <c r="G9" s="67">
        <v>50</v>
      </c>
      <c r="H9" s="68">
        <f>F9*G9+F10*G10</f>
        <v>0</v>
      </c>
      <c r="I9" s="69"/>
      <c r="J9" s="70">
        <f t="shared" ref="J9:J16" si="10">IF(G9&gt;0,$C$3,0)</f>
        <v>6.17</v>
      </c>
      <c r="K9" s="70">
        <f t="shared" ref="K9:K16" si="11">IF(G9&gt;0,$G$3,0)</f>
        <v>4.32</v>
      </c>
      <c r="L9" s="71">
        <f t="shared" ref="L9:L13" si="12">J9*(H9-I9)+I9*K9</f>
        <v>0</v>
      </c>
      <c r="M9" s="71">
        <f t="shared" ref="M9" si="13">L9+L10</f>
        <v>0</v>
      </c>
      <c r="N9" s="72">
        <v>8.4239417043940584E-2</v>
      </c>
      <c r="O9" s="73">
        <f>H9*N9</f>
        <v>0</v>
      </c>
      <c r="P9" s="68">
        <f t="shared" ref="P9" si="14">IF($O$19&gt;0,O9*$H$19/$O$19,0)</f>
        <v>0</v>
      </c>
      <c r="Q9" s="16">
        <f>J9*P9</f>
        <v>0</v>
      </c>
      <c r="R9" s="74">
        <f t="shared" ref="R9" si="15">IF(P9&gt;0,L9+Q9,L9)</f>
        <v>0</v>
      </c>
      <c r="S9" s="91">
        <f t="shared" ref="S9" si="16">R9+R10</f>
        <v>0</v>
      </c>
      <c r="T9" s="22">
        <f t="shared" ref="T9" si="17">L9+Q9</f>
        <v>0</v>
      </c>
      <c r="U9" s="23">
        <f t="shared" si="6"/>
        <v>0</v>
      </c>
    </row>
    <row r="10" spans="1:21" x14ac:dyDescent="0.3">
      <c r="A10" s="92" t="s">
        <v>57</v>
      </c>
      <c r="B10" s="77"/>
      <c r="C10" s="78"/>
      <c r="D10" s="79">
        <f>Ноя!E10</f>
        <v>0</v>
      </c>
      <c r="E10" s="80"/>
      <c r="F10" s="93"/>
      <c r="G10" s="82"/>
      <c r="H10" s="83"/>
      <c r="I10" s="84"/>
      <c r="J10" s="85">
        <f t="shared" si="10"/>
        <v>0</v>
      </c>
      <c r="K10" s="135">
        <f t="shared" si="11"/>
        <v>0</v>
      </c>
      <c r="L10" s="86">
        <f t="shared" si="12"/>
        <v>0</v>
      </c>
      <c r="M10" s="86"/>
      <c r="N10" s="87"/>
      <c r="O10" s="83"/>
      <c r="P10" s="83"/>
      <c r="Q10" s="88"/>
      <c r="R10" s="89"/>
      <c r="S10" s="90"/>
      <c r="T10" s="22"/>
      <c r="U10" s="23">
        <f t="shared" si="6"/>
        <v>0</v>
      </c>
    </row>
    <row r="11" spans="1:21" x14ac:dyDescent="0.3">
      <c r="A11" s="94" t="s">
        <v>58</v>
      </c>
      <c r="B11" s="62" t="s">
        <v>55</v>
      </c>
      <c r="C11" s="63" t="s">
        <v>59</v>
      </c>
      <c r="D11" s="64">
        <f>Ноя!E11</f>
        <v>94724.9</v>
      </c>
      <c r="E11" s="95"/>
      <c r="F11" s="66">
        <f t="shared" si="9"/>
        <v>0</v>
      </c>
      <c r="G11" s="67">
        <v>60</v>
      </c>
      <c r="H11" s="68">
        <f t="shared" ref="H11:H15" si="18">F11*G11</f>
        <v>0</v>
      </c>
      <c r="I11" s="69"/>
      <c r="J11" s="70">
        <f t="shared" si="10"/>
        <v>6.17</v>
      </c>
      <c r="K11" s="70">
        <f t="shared" si="11"/>
        <v>4.32</v>
      </c>
      <c r="L11" s="71">
        <f t="shared" si="12"/>
        <v>0</v>
      </c>
      <c r="M11" s="71">
        <f t="shared" ref="M11" si="19">L11+L12</f>
        <v>0</v>
      </c>
      <c r="N11" s="72">
        <v>9.3867222073683532E-2</v>
      </c>
      <c r="O11" s="73">
        <f>H11*N11</f>
        <v>0</v>
      </c>
      <c r="P11" s="68">
        <f t="shared" ref="P11:P14" si="20">IF($O$19&gt;0,O11*$H$19/$O$19,0)</f>
        <v>0</v>
      </c>
      <c r="Q11" s="16">
        <f>J11*P11</f>
        <v>0</v>
      </c>
      <c r="R11" s="74">
        <f t="shared" ref="R11:R14" si="21">IF(P11&gt;0,L11+Q11,L11)</f>
        <v>0</v>
      </c>
      <c r="S11" s="91">
        <f t="shared" ref="S11" si="22">R11+R12</f>
        <v>0</v>
      </c>
      <c r="T11" s="22">
        <f t="shared" ref="T11:T14" si="23">L11+Q11</f>
        <v>0</v>
      </c>
      <c r="U11" s="23">
        <f t="shared" si="6"/>
        <v>0</v>
      </c>
    </row>
    <row r="12" spans="1:21" x14ac:dyDescent="0.3">
      <c r="A12" s="76"/>
      <c r="B12" s="77" t="s">
        <v>55</v>
      </c>
      <c r="C12" s="78" t="s">
        <v>60</v>
      </c>
      <c r="D12" s="79">
        <f>Ноя!E12</f>
        <v>3</v>
      </c>
      <c r="E12" s="80"/>
      <c r="F12" s="81">
        <f t="shared" si="9"/>
        <v>0</v>
      </c>
      <c r="G12" s="82">
        <f>400/5</f>
        <v>80</v>
      </c>
      <c r="H12" s="83">
        <f t="shared" si="18"/>
        <v>0</v>
      </c>
      <c r="I12" s="84"/>
      <c r="J12" s="85">
        <f t="shared" si="10"/>
        <v>6.17</v>
      </c>
      <c r="K12" s="135">
        <f t="shared" si="11"/>
        <v>4.32</v>
      </c>
      <c r="L12" s="86">
        <f t="shared" si="12"/>
        <v>0</v>
      </c>
      <c r="M12" s="86"/>
      <c r="N12" s="87">
        <v>9.3867222073683532E-2</v>
      </c>
      <c r="O12" s="83">
        <f>H12*N12</f>
        <v>0</v>
      </c>
      <c r="P12" s="83">
        <f t="shared" si="20"/>
        <v>0</v>
      </c>
      <c r="Q12" s="88">
        <f>J12*P12</f>
        <v>0</v>
      </c>
      <c r="R12" s="89">
        <f t="shared" si="21"/>
        <v>0</v>
      </c>
      <c r="S12" s="90"/>
      <c r="T12" s="22">
        <f t="shared" si="23"/>
        <v>0</v>
      </c>
      <c r="U12" s="23">
        <f t="shared" si="6"/>
        <v>0</v>
      </c>
    </row>
    <row r="13" spans="1:21" x14ac:dyDescent="0.3">
      <c r="A13" s="94" t="s">
        <v>61</v>
      </c>
      <c r="B13" s="62" t="s">
        <v>55</v>
      </c>
      <c r="C13" s="63" t="s">
        <v>62</v>
      </c>
      <c r="D13" s="64">
        <f>Ноя!E13</f>
        <v>7770.7</v>
      </c>
      <c r="E13" s="95"/>
      <c r="F13" s="66">
        <f t="shared" si="9"/>
        <v>0</v>
      </c>
      <c r="G13" s="67">
        <v>40</v>
      </c>
      <c r="H13" s="68">
        <f t="shared" si="18"/>
        <v>0</v>
      </c>
      <c r="I13" s="96"/>
      <c r="J13" s="70">
        <f t="shared" si="10"/>
        <v>6.17</v>
      </c>
      <c r="K13" s="70">
        <f t="shared" si="11"/>
        <v>4.32</v>
      </c>
      <c r="L13" s="71">
        <f t="shared" si="12"/>
        <v>0</v>
      </c>
      <c r="M13" s="71">
        <f t="shared" ref="M13" si="24">L13+L14</f>
        <v>0</v>
      </c>
      <c r="N13" s="72">
        <v>9.3867222073683532E-2</v>
      </c>
      <c r="O13" s="73">
        <f>H13*N13</f>
        <v>0</v>
      </c>
      <c r="P13" s="68">
        <f t="shared" si="20"/>
        <v>0</v>
      </c>
      <c r="Q13" s="16">
        <f>J13*P13</f>
        <v>0</v>
      </c>
      <c r="R13" s="74">
        <f t="shared" si="21"/>
        <v>0</v>
      </c>
      <c r="S13" s="91">
        <f t="shared" ref="S13" si="25">R13+R14</f>
        <v>0</v>
      </c>
      <c r="T13" s="22">
        <f t="shared" si="23"/>
        <v>0</v>
      </c>
      <c r="U13" s="23">
        <f t="shared" si="6"/>
        <v>0</v>
      </c>
    </row>
    <row r="14" spans="1:21" x14ac:dyDescent="0.3">
      <c r="A14" s="76"/>
      <c r="B14" s="77" t="s">
        <v>55</v>
      </c>
      <c r="C14" s="78" t="s">
        <v>63</v>
      </c>
      <c r="D14" s="79">
        <f>Ноя!E14</f>
        <v>12811</v>
      </c>
      <c r="E14" s="80"/>
      <c r="F14" s="81">
        <f t="shared" si="9"/>
        <v>0</v>
      </c>
      <c r="G14" s="82">
        <f>400/5</f>
        <v>80</v>
      </c>
      <c r="H14" s="83">
        <f t="shared" si="18"/>
        <v>0</v>
      </c>
      <c r="I14" s="84"/>
      <c r="J14" s="85">
        <f t="shared" si="10"/>
        <v>6.17</v>
      </c>
      <c r="K14" s="135">
        <f t="shared" si="11"/>
        <v>4.32</v>
      </c>
      <c r="L14" s="86">
        <f>J14*(H14-I14)+I14*K14</f>
        <v>0</v>
      </c>
      <c r="M14" s="86"/>
      <c r="N14" s="87">
        <v>9.3867222073683532E-2</v>
      </c>
      <c r="O14" s="83">
        <f>H14*N14</f>
        <v>0</v>
      </c>
      <c r="P14" s="83">
        <f t="shared" si="20"/>
        <v>0</v>
      </c>
      <c r="Q14" s="88">
        <f>J14*P14</f>
        <v>0</v>
      </c>
      <c r="R14" s="89">
        <f t="shared" si="21"/>
        <v>0</v>
      </c>
      <c r="S14" s="98"/>
      <c r="T14" s="22">
        <f t="shared" si="23"/>
        <v>0</v>
      </c>
      <c r="U14" s="23">
        <f t="shared" si="6"/>
        <v>0</v>
      </c>
    </row>
    <row r="15" spans="1:21" x14ac:dyDescent="0.3">
      <c r="A15" s="94" t="s">
        <v>64</v>
      </c>
      <c r="B15" s="62" t="s">
        <v>52</v>
      </c>
      <c r="C15" s="63" t="s">
        <v>65</v>
      </c>
      <c r="D15" s="99">
        <f>Ноя!E15</f>
        <v>4574.55</v>
      </c>
      <c r="E15" s="100"/>
      <c r="F15" s="101">
        <f t="shared" si="9"/>
        <v>0</v>
      </c>
      <c r="G15" s="102">
        <v>1500</v>
      </c>
      <c r="H15" s="68">
        <f t="shared" si="18"/>
        <v>0</v>
      </c>
      <c r="I15" s="69">
        <f>SUM(I7:I14)</f>
        <v>0</v>
      </c>
      <c r="J15" s="70">
        <f t="shared" si="10"/>
        <v>6.17</v>
      </c>
      <c r="K15" s="70">
        <f t="shared" si="11"/>
        <v>4.32</v>
      </c>
      <c r="L15" s="103">
        <f t="shared" ref="L15:L16" si="26">J15*(H15-I15)+I15*K15</f>
        <v>0</v>
      </c>
      <c r="M15" s="103"/>
      <c r="N15" s="72"/>
      <c r="O15" s="73"/>
      <c r="P15" s="68"/>
      <c r="Q15" s="16"/>
      <c r="R15" s="103"/>
      <c r="S15" s="104"/>
      <c r="T15" s="22"/>
      <c r="U15" s="23"/>
    </row>
    <row r="16" spans="1:21" x14ac:dyDescent="0.3">
      <c r="A16" s="76" t="s">
        <v>66</v>
      </c>
      <c r="B16" s="77"/>
      <c r="C16" s="78"/>
      <c r="D16" s="105">
        <f>Ноя!E16</f>
        <v>0</v>
      </c>
      <c r="E16" s="106"/>
      <c r="F16" s="107"/>
      <c r="G16" s="108"/>
      <c r="H16" s="83"/>
      <c r="I16" s="84"/>
      <c r="J16" s="85">
        <f t="shared" si="10"/>
        <v>0</v>
      </c>
      <c r="K16" s="135">
        <f t="shared" si="11"/>
        <v>0</v>
      </c>
      <c r="L16" s="109">
        <f t="shared" si="26"/>
        <v>0</v>
      </c>
      <c r="M16" s="109"/>
      <c r="N16" s="87"/>
      <c r="O16" s="83"/>
      <c r="P16" s="83"/>
      <c r="Q16" s="88"/>
      <c r="R16" s="110"/>
      <c r="S16" s="111"/>
      <c r="T16" s="22"/>
      <c r="U16" s="23"/>
    </row>
    <row r="17" spans="1:21" x14ac:dyDescent="0.3">
      <c r="A17" s="20"/>
      <c r="B17" s="20"/>
      <c r="C17" s="20"/>
      <c r="D17" s="24"/>
      <c r="E17" s="24"/>
      <c r="F17" s="24"/>
      <c r="G17" s="112"/>
      <c r="H17" s="26"/>
      <c r="I17" s="26"/>
      <c r="J17" s="16"/>
      <c r="K17" s="16"/>
      <c r="L17" s="113"/>
      <c r="M17" s="113"/>
      <c r="N17" s="17"/>
      <c r="O17" s="16"/>
      <c r="P17" s="16"/>
      <c r="Q17" s="16"/>
      <c r="R17" s="16"/>
      <c r="S17" s="16"/>
      <c r="T17" s="22"/>
      <c r="U17" s="23"/>
    </row>
    <row r="18" spans="1:21" x14ac:dyDescent="0.3">
      <c r="A18" s="114"/>
      <c r="B18" s="114"/>
      <c r="C18" s="114"/>
      <c r="D18" s="115"/>
      <c r="E18" s="24"/>
      <c r="F18" s="24"/>
      <c r="G18" s="116" t="s">
        <v>67</v>
      </c>
      <c r="H18" s="26">
        <f>SUM(H7:H14)</f>
        <v>0</v>
      </c>
      <c r="I18" s="26"/>
      <c r="J18" s="20" t="s">
        <v>46</v>
      </c>
      <c r="K18" s="20"/>
      <c r="L18" s="16"/>
      <c r="M18" s="16"/>
      <c r="N18" s="17"/>
      <c r="O18" s="16"/>
      <c r="P18" s="16"/>
      <c r="Q18" s="16"/>
      <c r="R18" s="16"/>
      <c r="S18" s="16"/>
      <c r="T18" s="22"/>
      <c r="U18" s="23"/>
    </row>
    <row r="19" spans="1:21" x14ac:dyDescent="0.3">
      <c r="A19" s="117"/>
      <c r="B19" s="117"/>
      <c r="C19" s="117"/>
      <c r="D19" s="118"/>
      <c r="E19" s="24"/>
      <c r="F19" s="24"/>
      <c r="G19" s="116" t="s">
        <v>68</v>
      </c>
      <c r="H19" s="26">
        <f>IF(H15&gt;0,H15-H18,0)</f>
        <v>0</v>
      </c>
      <c r="I19" s="26"/>
      <c r="J19" s="20" t="s">
        <v>46</v>
      </c>
      <c r="K19" s="20"/>
      <c r="L19" s="16"/>
      <c r="M19" s="16"/>
      <c r="N19" s="17"/>
      <c r="O19" s="26">
        <f>SUM(O7:O14)</f>
        <v>0</v>
      </c>
      <c r="P19" s="16">
        <f>SUM(P7:P14)</f>
        <v>0</v>
      </c>
      <c r="Q19" s="16">
        <f>SUM(Q7:Q16)</f>
        <v>0</v>
      </c>
      <c r="R19" s="119">
        <f>SUM(R7:R14)</f>
        <v>0</v>
      </c>
      <c r="S19" s="119"/>
      <c r="T19" s="120">
        <f>SUM(T7:T14)</f>
        <v>0</v>
      </c>
      <c r="U19" s="20"/>
    </row>
    <row r="20" spans="1:21" x14ac:dyDescent="0.3">
      <c r="A20" s="117"/>
      <c r="B20" s="117"/>
      <c r="C20" s="117"/>
      <c r="D20" s="118"/>
      <c r="E20" s="24"/>
      <c r="F20" s="24"/>
      <c r="G20" s="116" t="s">
        <v>69</v>
      </c>
      <c r="H20" s="17">
        <f>IF(H15&gt;0,H19/H15,0)</f>
        <v>0</v>
      </c>
      <c r="I20" s="17"/>
      <c r="J20" s="16"/>
      <c r="K20" s="16"/>
      <c r="L20" s="16"/>
      <c r="M20" s="16"/>
      <c r="N20" s="17"/>
      <c r="O20" s="16"/>
      <c r="P20" s="16"/>
      <c r="Q20" s="16"/>
      <c r="R20" s="16"/>
      <c r="S20" s="16"/>
      <c r="T20" s="22"/>
      <c r="U20" s="20"/>
    </row>
    <row r="21" spans="1:21" x14ac:dyDescent="0.3">
      <c r="A21" s="117"/>
      <c r="B21" s="117"/>
      <c r="C21" s="117"/>
      <c r="D21" s="118"/>
      <c r="E21" s="24"/>
      <c r="F21" s="24"/>
      <c r="G21" s="25"/>
      <c r="H21" s="16"/>
      <c r="I21" s="16"/>
      <c r="J21" s="16"/>
      <c r="K21" s="16"/>
      <c r="L21" s="16"/>
      <c r="M21" s="16"/>
      <c r="N21" s="17"/>
      <c r="O21" s="16"/>
      <c r="P21" s="16"/>
      <c r="Q21" s="16"/>
      <c r="R21" s="16"/>
      <c r="S21" s="16"/>
      <c r="T21" s="22"/>
      <c r="U21" s="20"/>
    </row>
    <row r="22" spans="1:21" x14ac:dyDescent="0.3">
      <c r="A22" s="117"/>
      <c r="B22" s="117"/>
      <c r="C22" s="117"/>
      <c r="D22" s="118"/>
      <c r="E22" s="24"/>
      <c r="F22" s="24"/>
      <c r="G22" s="25"/>
      <c r="H22" s="16"/>
      <c r="I22" s="16"/>
      <c r="J22" s="16"/>
      <c r="K22" s="16"/>
      <c r="L22" s="16"/>
      <c r="M22" s="16"/>
      <c r="N22" s="17"/>
      <c r="O22" s="16"/>
      <c r="P22" s="16"/>
      <c r="Q22" s="16"/>
      <c r="R22" s="121" t="s">
        <v>70</v>
      </c>
      <c r="S22" s="122" t="s">
        <v>71</v>
      </c>
      <c r="T22" s="122" t="s">
        <v>72</v>
      </c>
      <c r="U22" s="20"/>
    </row>
    <row r="23" spans="1:21" x14ac:dyDescent="0.3">
      <c r="A23" s="123"/>
      <c r="B23" s="123"/>
      <c r="C23" s="123"/>
      <c r="D23" s="124"/>
      <c r="E23" s="124"/>
      <c r="F23" s="124"/>
      <c r="G23" s="125" t="s">
        <v>73</v>
      </c>
      <c r="H23" s="119">
        <f>H11+H12+H13+H14</f>
        <v>0</v>
      </c>
      <c r="I23" s="119"/>
      <c r="J23" s="119"/>
      <c r="K23" s="119"/>
      <c r="L23" s="119"/>
      <c r="M23" s="119"/>
      <c r="N23" s="123"/>
      <c r="O23" s="126" t="s">
        <v>74</v>
      </c>
      <c r="P23" s="127"/>
      <c r="Q23" s="119"/>
      <c r="R23" s="75" t="s">
        <v>75</v>
      </c>
      <c r="S23" s="128"/>
      <c r="T23" s="129"/>
      <c r="U23" s="123"/>
    </row>
    <row r="24" spans="1:21" x14ac:dyDescent="0.3">
      <c r="A24" s="130"/>
      <c r="B24" s="130"/>
      <c r="C24" s="130"/>
      <c r="D24" s="124"/>
      <c r="E24" s="124"/>
      <c r="F24" s="124"/>
      <c r="G24" s="125" t="s">
        <v>76</v>
      </c>
      <c r="H24" s="119">
        <f>L11+L12+L13+L14</f>
        <v>0</v>
      </c>
      <c r="I24" s="119"/>
      <c r="J24" s="119"/>
      <c r="K24" s="119"/>
      <c r="L24" s="119"/>
      <c r="M24" s="119"/>
      <c r="N24" s="131"/>
      <c r="O24" s="126" t="s">
        <v>77</v>
      </c>
      <c r="P24" s="127"/>
      <c r="Q24" s="119"/>
      <c r="R24" s="98">
        <f>M13</f>
        <v>0</v>
      </c>
      <c r="S24" s="132"/>
      <c r="T24" s="98">
        <f>IF(S24&gt;0,R24-S24,0)</f>
        <v>0</v>
      </c>
      <c r="U24" s="117"/>
    </row>
    <row r="25" spans="1:21" x14ac:dyDescent="0.3">
      <c r="A25" s="133"/>
      <c r="B25" s="133"/>
      <c r="C25" s="133"/>
      <c r="D25" s="24"/>
      <c r="E25" s="24"/>
      <c r="F25" s="24"/>
      <c r="G25" s="25"/>
      <c r="H25" s="16"/>
      <c r="I25" s="16"/>
      <c r="J25" s="16"/>
      <c r="K25" s="16"/>
      <c r="L25" s="16"/>
      <c r="M25" s="16"/>
      <c r="N25" s="17"/>
      <c r="O25" s="16"/>
      <c r="P25" s="16"/>
      <c r="Q25" s="16"/>
      <c r="R25" s="104" t="s">
        <v>78</v>
      </c>
      <c r="S25" s="128"/>
      <c r="T25" s="134"/>
      <c r="U25" s="117"/>
    </row>
    <row r="26" spans="1:21" x14ac:dyDescent="0.3">
      <c r="A26" s="20"/>
      <c r="B26" s="20"/>
      <c r="C26" s="20"/>
      <c r="D26" s="24"/>
      <c r="E26" s="24"/>
      <c r="F26" s="24"/>
      <c r="G26" s="25"/>
      <c r="H26" s="26"/>
      <c r="I26" s="26"/>
      <c r="J26" s="16"/>
      <c r="K26" s="16"/>
      <c r="L26" s="16"/>
      <c r="M26" s="16"/>
      <c r="N26" s="17"/>
      <c r="O26" s="16"/>
      <c r="P26" s="16"/>
      <c r="Q26" s="16"/>
      <c r="R26" s="111">
        <f>M11</f>
        <v>0</v>
      </c>
      <c r="S26" s="135"/>
      <c r="T26" s="111">
        <f>IF(S26&gt;0,R26-S26,0)</f>
        <v>0</v>
      </c>
      <c r="U26" s="117"/>
    </row>
    <row r="27" spans="1:21" x14ac:dyDescent="0.3">
      <c r="A27" s="20"/>
      <c r="B27" s="20"/>
      <c r="C27" s="20"/>
      <c r="D27" s="24" t="s">
        <v>79</v>
      </c>
      <c r="E27" s="24"/>
      <c r="F27" s="24"/>
      <c r="G27" s="25"/>
      <c r="H27" s="26"/>
      <c r="I27" s="26"/>
      <c r="J27" s="16"/>
      <c r="K27" s="16"/>
      <c r="L27" s="16"/>
      <c r="M27" s="16"/>
      <c r="N27" s="17"/>
      <c r="O27" s="16"/>
      <c r="P27" s="16"/>
      <c r="Q27" s="16"/>
      <c r="R27" s="104" t="s">
        <v>80</v>
      </c>
      <c r="S27" s="136"/>
      <c r="T27" s="134"/>
      <c r="U27" s="117"/>
    </row>
    <row r="28" spans="1:21" x14ac:dyDescent="0.3">
      <c r="A28" s="20"/>
      <c r="B28" s="20"/>
      <c r="C28" s="20"/>
      <c r="D28" s="24" t="s">
        <v>81</v>
      </c>
      <c r="E28" s="24"/>
      <c r="F28" s="24"/>
      <c r="G28" s="25"/>
      <c r="H28" s="26"/>
      <c r="I28" s="26"/>
      <c r="J28" s="16"/>
      <c r="K28" s="16"/>
      <c r="L28" s="16" t="s">
        <v>82</v>
      </c>
      <c r="M28" s="16"/>
      <c r="N28" s="17"/>
      <c r="O28" s="16"/>
      <c r="P28" s="16"/>
      <c r="Q28" s="16"/>
      <c r="R28" s="111">
        <f>R24+R26</f>
        <v>0</v>
      </c>
      <c r="S28" s="135"/>
      <c r="T28" s="111">
        <f>T24+T26</f>
        <v>0</v>
      </c>
      <c r="U28" s="117"/>
    </row>
  </sheetData>
  <mergeCells count="3">
    <mergeCell ref="B4:C4"/>
    <mergeCell ref="D4:E4"/>
    <mergeCell ref="D5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6BB5D-A9B0-418F-BD74-0483A53CBF88}">
  <dimension ref="A1:N13"/>
  <sheetViews>
    <sheetView showZeros="0" workbookViewId="0">
      <selection activeCell="N10" sqref="N10"/>
    </sheetView>
  </sheetViews>
  <sheetFormatPr defaultRowHeight="15" x14ac:dyDescent="0.25"/>
  <cols>
    <col min="1" max="1" width="18.6640625" style="151" bestFit="1" customWidth="1"/>
    <col min="2" max="2" width="9.109375" style="154" bestFit="1" customWidth="1"/>
    <col min="3" max="3" width="10.21875" style="154" bestFit="1" customWidth="1"/>
    <col min="4" max="8" width="9.109375" style="154" bestFit="1" customWidth="1"/>
    <col min="9" max="9" width="10.21875" style="154" bestFit="1" customWidth="1"/>
    <col min="10" max="10" width="9.109375" style="154" bestFit="1" customWidth="1"/>
    <col min="11" max="11" width="10.88671875" style="151" bestFit="1" customWidth="1"/>
    <col min="12" max="13" width="8.88671875" style="151"/>
    <col min="14" max="14" width="13.77734375" style="148" bestFit="1" customWidth="1"/>
    <col min="15" max="16384" width="8.88671875" style="151"/>
  </cols>
  <sheetData>
    <row r="1" spans="1:14" s="141" customFormat="1" ht="15.6" x14ac:dyDescent="0.3">
      <c r="A1" s="141" t="s">
        <v>96</v>
      </c>
      <c r="B1" s="142"/>
      <c r="C1" s="142"/>
      <c r="D1" s="142"/>
      <c r="E1" s="143">
        <f>Янв!D2</f>
        <v>2022</v>
      </c>
      <c r="F1" s="142" t="s">
        <v>97</v>
      </c>
      <c r="G1" s="142"/>
      <c r="H1" s="142"/>
      <c r="I1" s="142"/>
      <c r="J1" s="142"/>
      <c r="N1" s="196"/>
    </row>
    <row r="3" spans="1:14" s="148" customFormat="1" x14ac:dyDescent="0.25">
      <c r="A3" s="144" t="s">
        <v>6</v>
      </c>
      <c r="B3" s="145" t="s">
        <v>98</v>
      </c>
      <c r="C3" s="146" t="s">
        <v>99</v>
      </c>
      <c r="D3" s="146" t="s">
        <v>100</v>
      </c>
      <c r="E3" s="146" t="s">
        <v>101</v>
      </c>
      <c r="F3" s="146" t="s">
        <v>102</v>
      </c>
      <c r="G3" s="146" t="s">
        <v>103</v>
      </c>
      <c r="H3" s="146" t="s">
        <v>104</v>
      </c>
      <c r="I3" s="146" t="s">
        <v>105</v>
      </c>
      <c r="J3" s="146" t="s">
        <v>106</v>
      </c>
      <c r="K3" s="147" t="s">
        <v>107</v>
      </c>
      <c r="L3" s="147" t="s">
        <v>108</v>
      </c>
      <c r="M3" s="147" t="s">
        <v>109</v>
      </c>
      <c r="N3" s="147" t="s">
        <v>122</v>
      </c>
    </row>
    <row r="4" spans="1:14" x14ac:dyDescent="0.25">
      <c r="A4" s="149" t="s">
        <v>51</v>
      </c>
      <c r="B4" s="150">
        <f>Янв!H7+Янв!H8</f>
        <v>100980.12000000046</v>
      </c>
      <c r="C4" s="150">
        <f>Фев!H7+Фев!H8</f>
        <v>72715.73999999935</v>
      </c>
      <c r="D4" s="150">
        <f>Мар!H7+Мар!H8</f>
        <v>66086.880000000237</v>
      </c>
      <c r="E4" s="150">
        <f>Апр!H7+Апр!H8</f>
        <v>66958.440000000119</v>
      </c>
      <c r="F4" s="150">
        <f>Май!H7+Май!H8</f>
        <v>66975.839999999735</v>
      </c>
      <c r="G4" s="150">
        <f>Июн!H7+Июн!H8</f>
        <v>74571.599999999991</v>
      </c>
      <c r="H4" s="150">
        <f>Июл!H7+Июл!H8</f>
        <v>54735.6</v>
      </c>
      <c r="I4" s="150">
        <f>Авг!H7+Авг!H8</f>
        <v>62991.600000000006</v>
      </c>
      <c r="J4" s="150">
        <f>Сен!H7+Сен!H8</f>
        <v>80766</v>
      </c>
      <c r="K4" s="150">
        <f>Окт!H7+Окт!H8</f>
        <v>79236.000000000029</v>
      </c>
      <c r="L4" s="150">
        <f>Ноя!H7+Ноя!H8</f>
        <v>96451.199999999968</v>
      </c>
      <c r="M4" s="150">
        <f>Дек!H7+Дек!H8</f>
        <v>0</v>
      </c>
      <c r="N4" s="197">
        <f>SUM(B4:M4)</f>
        <v>822469.01999999979</v>
      </c>
    </row>
    <row r="5" spans="1:14" x14ac:dyDescent="0.25">
      <c r="A5" s="152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98"/>
    </row>
    <row r="6" spans="1:14" x14ac:dyDescent="0.25">
      <c r="A6" s="149" t="s">
        <v>54</v>
      </c>
      <c r="B6" s="150">
        <f>Янв!H9+Янв!H10</f>
        <v>49405.000000000015</v>
      </c>
      <c r="C6" s="150">
        <f>Фев!H9+Фев!H10</f>
        <v>33435.000000000036</v>
      </c>
      <c r="D6" s="150">
        <f>Мар!H9+Мар!H10</f>
        <v>30254.999999999927</v>
      </c>
      <c r="E6" s="150">
        <f>Апр!H9+Апр!H10</f>
        <v>32005.000000000018</v>
      </c>
      <c r="F6" s="150">
        <f>Май!H9+Май!H10</f>
        <v>32355.000000000018</v>
      </c>
      <c r="G6" s="150">
        <f>Июн!H9+Июн!H10</f>
        <v>24904.999999999927</v>
      </c>
      <c r="H6" s="150">
        <f>Июл!H9+Июл!H10</f>
        <v>23160.000000000036</v>
      </c>
      <c r="I6" s="150">
        <f>Авг!H9+Авг!H10</f>
        <v>27195.000000000073</v>
      </c>
      <c r="J6" s="150">
        <f>Сен!H9+Сен!H10</f>
        <v>30535.000000000036</v>
      </c>
      <c r="K6" s="150">
        <f>Окт!H9+Окт!H10</f>
        <v>32479.999999999927</v>
      </c>
      <c r="L6" s="150">
        <f>Ноя!H9+Ноя!H10</f>
        <v>42200</v>
      </c>
      <c r="M6" s="150">
        <f>Дек!H9+Дек!H10</f>
        <v>0</v>
      </c>
      <c r="N6" s="197">
        <f t="shared" ref="N6" si="0">SUM(B6:M6)</f>
        <v>357930.00000000006</v>
      </c>
    </row>
    <row r="7" spans="1:14" x14ac:dyDescent="0.25">
      <c r="A7" s="152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98"/>
    </row>
    <row r="8" spans="1:14" x14ac:dyDescent="0.25">
      <c r="A8" s="149" t="s">
        <v>58</v>
      </c>
      <c r="B8" s="150">
        <f>Янв!H11+Янв!H12</f>
        <v>115680</v>
      </c>
      <c r="C8" s="150">
        <f>Фев!H11+Фев!H12</f>
        <v>80430</v>
      </c>
      <c r="D8" s="150">
        <f>Мар!H11+Мар!H12</f>
        <v>71747.999999999302</v>
      </c>
      <c r="E8" s="150">
        <f>Апр!H11+Апр!H12</f>
        <v>70992.000000000698</v>
      </c>
      <c r="F8" s="150">
        <f>Май!H11+Май!H12</f>
        <v>84570</v>
      </c>
      <c r="G8" s="150">
        <f>Июн!H11+Июн!H12</f>
        <v>71831.999999999825</v>
      </c>
      <c r="H8" s="150">
        <f>Июл!H11+Июл!H12</f>
        <v>58788.000000000175</v>
      </c>
      <c r="I8" s="150">
        <f>Авг!H11+Авг!H12</f>
        <v>66005.999999999476</v>
      </c>
      <c r="J8" s="150">
        <f>Сен!H11+Сен!H12</f>
        <v>70511.999999999825</v>
      </c>
      <c r="K8" s="150">
        <f>Окт!H11+Окт!H12</f>
        <v>75456.000000000349</v>
      </c>
      <c r="L8" s="150">
        <f>Ноя!H11+Ноя!H12</f>
        <v>84293.999999999651</v>
      </c>
      <c r="M8" s="150">
        <f>Дек!H11+Дек!H12</f>
        <v>0</v>
      </c>
      <c r="N8" s="197">
        <f t="shared" ref="N8" si="1">SUM(B8:M8)</f>
        <v>850307.9999999993</v>
      </c>
    </row>
    <row r="9" spans="1:14" x14ac:dyDescent="0.25">
      <c r="A9" s="152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98"/>
    </row>
    <row r="10" spans="1:14" x14ac:dyDescent="0.25">
      <c r="A10" s="149" t="s">
        <v>61</v>
      </c>
      <c r="B10" s="150">
        <f>Янв!H13+Янв!H14</f>
        <v>108816.00000000003</v>
      </c>
      <c r="C10" s="150">
        <f>Фев!H13+Фев!H14</f>
        <v>75583.999999999942</v>
      </c>
      <c r="D10" s="150">
        <f>Мар!H13+Мар!H14</f>
        <v>64888.000000000029</v>
      </c>
      <c r="E10" s="150">
        <f>Апр!H13+Апр!H14</f>
        <v>62855.999999999985</v>
      </c>
      <c r="F10" s="150">
        <f>Май!H13+Май!H14</f>
        <v>65367.999999999956</v>
      </c>
      <c r="G10" s="150">
        <f>Июн!H13+Июн!H14</f>
        <v>58136.000000000058</v>
      </c>
      <c r="H10" s="150">
        <f>Июл!H13+Июл!H14</f>
        <v>51703.999999999942</v>
      </c>
      <c r="I10" s="150">
        <f>Авг!H13+Авг!H14</f>
        <v>58624.000000000087</v>
      </c>
      <c r="J10" s="150">
        <f>Сен!H13+Сен!H14</f>
        <v>61631.999999999971</v>
      </c>
      <c r="K10" s="150">
        <f>Окт!H13+Окт!H14</f>
        <v>60751.999999999971</v>
      </c>
      <c r="L10" s="150">
        <f>Ноя!H13+Ноя!H14</f>
        <v>77048.000000000029</v>
      </c>
      <c r="M10" s="150">
        <f>Дек!H13+Дек!H14</f>
        <v>0</v>
      </c>
      <c r="N10" s="197">
        <f t="shared" ref="N10" si="2">SUM(B10:M10)</f>
        <v>745408</v>
      </c>
    </row>
    <row r="11" spans="1:14" x14ac:dyDescent="0.25">
      <c r="A11" s="152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98"/>
    </row>
    <row r="12" spans="1:14" s="141" customFormat="1" ht="15.6" x14ac:dyDescent="0.3">
      <c r="A12" s="149" t="s">
        <v>110</v>
      </c>
      <c r="B12" s="150">
        <f>Янв!H15+Янв!H16</f>
        <v>376296.00000000006</v>
      </c>
      <c r="C12" s="150">
        <f>Фев!H15+Фев!H16</f>
        <v>265244.99999999988</v>
      </c>
      <c r="D12" s="150">
        <f>Мар!H15+Мар!H16</f>
        <v>234301.50000000003</v>
      </c>
      <c r="E12" s="150">
        <f>Апр!H15+Апр!H16</f>
        <v>235214.99999999991</v>
      </c>
      <c r="F12" s="150">
        <f>Май!H15+Май!H16</f>
        <v>264939.00000000029</v>
      </c>
      <c r="G12" s="150">
        <f>Июн!H15+Июн!H16</f>
        <v>221405.99999999971</v>
      </c>
      <c r="H12" s="150">
        <f>Июл!H15+Июл!H16</f>
        <v>191260.50000000009</v>
      </c>
      <c r="I12" s="150">
        <f>Авг!H15+Авг!H16</f>
        <v>215818.49999999985</v>
      </c>
      <c r="J12" s="150">
        <f>Сен!H15+Сен!H16</f>
        <v>245682.00000000003</v>
      </c>
      <c r="K12" s="150">
        <f>Окт!H15+Окт!H16</f>
        <v>249541.49999999983</v>
      </c>
      <c r="L12" s="150">
        <f>Ноя!H15+Ноя!H16</f>
        <v>300685.50000000052</v>
      </c>
      <c r="M12" s="150">
        <f>Дек!H15+Дек!H16</f>
        <v>0</v>
      </c>
      <c r="N12" s="197">
        <f t="shared" ref="N12" si="3">SUM(B12:M12)</f>
        <v>2800390.5000000005</v>
      </c>
    </row>
    <row r="13" spans="1:14" x14ac:dyDescent="0.25">
      <c r="A13" s="152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9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3BBF2-455C-4837-AC63-3D1BFE8F5609}">
  <dimension ref="A1:Q23"/>
  <sheetViews>
    <sheetView showZero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4" sqref="N4"/>
    </sheetView>
  </sheetViews>
  <sheetFormatPr defaultRowHeight="12" x14ac:dyDescent="0.3"/>
  <cols>
    <col min="1" max="1" width="9.5546875" style="164" customWidth="1"/>
    <col min="2" max="13" width="8.44140625" style="165" customWidth="1"/>
    <col min="14" max="16" width="8.77734375" style="166" bestFit="1" customWidth="1"/>
    <col min="17" max="17" width="8.77734375" style="167" bestFit="1" customWidth="1"/>
    <col min="18" max="16384" width="8.88671875" style="164"/>
  </cols>
  <sheetData>
    <row r="1" spans="1:17" s="187" customFormat="1" ht="13.2" x14ac:dyDescent="0.3">
      <c r="A1" s="187" t="s">
        <v>116</v>
      </c>
      <c r="B1" s="188"/>
      <c r="C1" s="188"/>
      <c r="D1" s="188"/>
      <c r="E1" s="188"/>
      <c r="G1" s="189">
        <f>Янв!D2</f>
        <v>2022</v>
      </c>
      <c r="H1" s="188" t="s">
        <v>117</v>
      </c>
      <c r="I1" s="188"/>
      <c r="J1" s="188"/>
      <c r="K1" s="188"/>
      <c r="L1" s="188"/>
      <c r="M1" s="188"/>
      <c r="Q1" s="190"/>
    </row>
    <row r="3" spans="1:17" s="173" customFormat="1" x14ac:dyDescent="0.3">
      <c r="A3" s="168" t="s">
        <v>6</v>
      </c>
      <c r="B3" s="169" t="s">
        <v>98</v>
      </c>
      <c r="C3" s="170" t="s">
        <v>99</v>
      </c>
      <c r="D3" s="170" t="s">
        <v>100</v>
      </c>
      <c r="E3" s="170" t="s">
        <v>101</v>
      </c>
      <c r="F3" s="170" t="s">
        <v>102</v>
      </c>
      <c r="G3" s="170" t="s">
        <v>103</v>
      </c>
      <c r="H3" s="170" t="s">
        <v>104</v>
      </c>
      <c r="I3" s="170" t="s">
        <v>105</v>
      </c>
      <c r="J3" s="170" t="s">
        <v>106</v>
      </c>
      <c r="K3" s="170" t="s">
        <v>107</v>
      </c>
      <c r="L3" s="170" t="s">
        <v>108</v>
      </c>
      <c r="M3" s="170" t="s">
        <v>109</v>
      </c>
      <c r="N3" s="171">
        <v>2022</v>
      </c>
      <c r="O3" s="171">
        <v>2021</v>
      </c>
      <c r="P3" s="171">
        <v>2020</v>
      </c>
      <c r="Q3" s="172" t="s">
        <v>111</v>
      </c>
    </row>
    <row r="4" spans="1:17" ht="11.4" x14ac:dyDescent="0.3">
      <c r="A4" s="174" t="s">
        <v>51</v>
      </c>
      <c r="B4" s="175">
        <f>Янв!Q7</f>
        <v>2115.2679488918279</v>
      </c>
      <c r="C4" s="175">
        <f>Фев!Q7</f>
        <v>4743.7204315762356</v>
      </c>
      <c r="D4" s="175">
        <f>Мар!Q7</f>
        <v>2086.6152327854466</v>
      </c>
      <c r="E4" s="175">
        <f>Апр!Q7</f>
        <v>3846.5587305032468</v>
      </c>
      <c r="F4" s="175">
        <f>Май!Q7</f>
        <v>6.0692405208426035</v>
      </c>
      <c r="G4" s="175">
        <f>Июн!Q7</f>
        <v>0</v>
      </c>
      <c r="H4" s="175">
        <f>Июл!Q7</f>
        <v>0</v>
      </c>
      <c r="I4" s="175">
        <f>Авг!Q7</f>
        <v>0</v>
      </c>
      <c r="J4" s="175">
        <f>Сен!Q7</f>
        <v>0</v>
      </c>
      <c r="K4" s="175">
        <f>Окт!Q7</f>
        <v>0</v>
      </c>
      <c r="L4" s="175">
        <f>Ноя!Q7</f>
        <v>0</v>
      </c>
      <c r="M4" s="175">
        <f>Дек!Q7</f>
        <v>0</v>
      </c>
      <c r="N4" s="175">
        <f>SUM(B4:M4)+SUM(B5:M5)</f>
        <v>36736.144563352296</v>
      </c>
      <c r="O4" s="175">
        <v>33817.002272780242</v>
      </c>
      <c r="P4" s="175">
        <v>34020.120673453763</v>
      </c>
      <c r="Q4" s="176">
        <f>SUM(N4:P4)</f>
        <v>104573.26750958629</v>
      </c>
    </row>
    <row r="5" spans="1:17" ht="11.4" x14ac:dyDescent="0.3">
      <c r="A5" s="177"/>
      <c r="B5" s="178">
        <f>Янв!Q8</f>
        <v>0</v>
      </c>
      <c r="C5" s="178">
        <f>Фев!Q8</f>
        <v>0</v>
      </c>
      <c r="D5" s="178">
        <f>Мар!Q8</f>
        <v>0</v>
      </c>
      <c r="E5" s="178">
        <f>Апр!Q8</f>
        <v>0</v>
      </c>
      <c r="F5" s="178">
        <f>Май!Q8</f>
        <v>23355.567659159857</v>
      </c>
      <c r="G5" s="178">
        <f>Июн!Q8</f>
        <v>-14550.814169083871</v>
      </c>
      <c r="H5" s="178">
        <f>Июл!Q8</f>
        <v>4826.6441266425545</v>
      </c>
      <c r="I5" s="178">
        <f>Авг!Q8</f>
        <v>1699.9714466841017</v>
      </c>
      <c r="J5" s="178">
        <f>Сен!Q8</f>
        <v>4311.6029898948673</v>
      </c>
      <c r="K5" s="178">
        <f>Окт!Q8</f>
        <v>3001.1357644707605</v>
      </c>
      <c r="L5" s="178">
        <f>Ноя!Q8</f>
        <v>1293.8051613064297</v>
      </c>
      <c r="M5" s="178">
        <f>Дек!Q8</f>
        <v>0</v>
      </c>
      <c r="N5" s="178"/>
      <c r="O5" s="178"/>
      <c r="P5" s="178"/>
      <c r="Q5" s="179"/>
    </row>
    <row r="6" spans="1:17" ht="11.4" x14ac:dyDescent="0.3">
      <c r="A6" s="174" t="s">
        <v>54</v>
      </c>
      <c r="B6" s="175">
        <f>Янв!Q9</f>
        <v>1034.9048210182391</v>
      </c>
      <c r="C6" s="175">
        <f>Фев!Q9</f>
        <v>2181.1824046589236</v>
      </c>
      <c r="D6" s="175">
        <f>Мар!Q9</f>
        <v>955.2659146251616</v>
      </c>
      <c r="E6" s="175">
        <f>Апр!Q9</f>
        <v>1838.5899099464723</v>
      </c>
      <c r="F6" s="175">
        <f>Май!Q9</f>
        <v>11285.648106678056</v>
      </c>
      <c r="G6" s="175">
        <f>Июн!Q9</f>
        <v>-4859.5983843853792</v>
      </c>
      <c r="H6" s="175">
        <f>Июл!Q9</f>
        <v>2042.2737299498269</v>
      </c>
      <c r="I6" s="175">
        <f>Авг!Q9</f>
        <v>733.91886366712811</v>
      </c>
      <c r="J6" s="175">
        <f>Сен!Q9</f>
        <v>1630.0769791303264</v>
      </c>
      <c r="K6" s="175">
        <f>Окт!Q9</f>
        <v>1230.2096222677831</v>
      </c>
      <c r="L6" s="175">
        <f>Ноя!Q9</f>
        <v>566.07463470782466</v>
      </c>
      <c r="M6" s="175">
        <f>Дек!Q9</f>
        <v>0</v>
      </c>
      <c r="N6" s="175">
        <f t="shared" ref="N6" si="0">SUM(B6:M6)+SUM(B7:M7)</f>
        <v>18638.546602264363</v>
      </c>
      <c r="O6" s="175">
        <v>15158.668584310371</v>
      </c>
      <c r="P6" s="175">
        <v>14129.531239988206</v>
      </c>
      <c r="Q6" s="176">
        <f t="shared" ref="Q6" si="1">SUM(N6:P6)</f>
        <v>47926.746426562939</v>
      </c>
    </row>
    <row r="7" spans="1:17" ht="11.4" x14ac:dyDescent="0.3">
      <c r="A7" s="177"/>
      <c r="B7" s="178">
        <f>Янв!Q10</f>
        <v>0</v>
      </c>
      <c r="C7" s="178">
        <f>Фев!Q10</f>
        <v>0</v>
      </c>
      <c r="D7" s="178">
        <f>Мар!Q10</f>
        <v>0</v>
      </c>
      <c r="E7" s="178">
        <f>Апр!Q10</f>
        <v>0</v>
      </c>
      <c r="F7" s="178">
        <f>Май!Q10</f>
        <v>0</v>
      </c>
      <c r="G7" s="178">
        <f>Июн!Q10</f>
        <v>0</v>
      </c>
      <c r="H7" s="178">
        <f>Июл!Q10</f>
        <v>0</v>
      </c>
      <c r="I7" s="178">
        <f>Авг!Q10</f>
        <v>0</v>
      </c>
      <c r="J7" s="178">
        <f>Сен!Q10</f>
        <v>0</v>
      </c>
      <c r="K7" s="178">
        <f>Окт!Q10</f>
        <v>0</v>
      </c>
      <c r="L7" s="178">
        <f>Ноя!Q10</f>
        <v>0</v>
      </c>
      <c r="M7" s="178">
        <f>Дек!Q10</f>
        <v>0</v>
      </c>
      <c r="N7" s="178"/>
      <c r="O7" s="178"/>
      <c r="P7" s="178"/>
      <c r="Q7" s="179"/>
    </row>
    <row r="8" spans="1:17" ht="11.4" x14ac:dyDescent="0.3">
      <c r="A8" s="174" t="s">
        <v>58</v>
      </c>
      <c r="B8" s="175">
        <f>Янв!Q11</f>
        <v>2700.1407245052337</v>
      </c>
      <c r="C8" s="175">
        <f>Фев!Q11</f>
        <v>5846.6532737824064</v>
      </c>
      <c r="D8" s="175">
        <f>Мар!Q11</f>
        <v>2524.2684347653831</v>
      </c>
      <c r="E8" s="175">
        <f>Апр!Q11</f>
        <v>4544.3844482578425</v>
      </c>
      <c r="F8" s="175">
        <f>Май!Q11</f>
        <v>32870.025704148044</v>
      </c>
      <c r="G8" s="175">
        <f>Июн!Q11</f>
        <v>-15618.179294866688</v>
      </c>
      <c r="H8" s="175">
        <f>Июл!Q11</f>
        <v>5776.4722869585585</v>
      </c>
      <c r="I8" s="175">
        <f>Авг!Q11</f>
        <v>1984.9108923456326</v>
      </c>
      <c r="J8" s="175">
        <f>Сен!Q11</f>
        <v>4194.4192282977929</v>
      </c>
      <c r="K8" s="175">
        <f>Окт!Q11</f>
        <v>3184.6043998741202</v>
      </c>
      <c r="L8" s="175">
        <f>Ноя!Q11</f>
        <v>1259.9593089787677</v>
      </c>
      <c r="M8" s="175">
        <f>Дек!Q11</f>
        <v>0</v>
      </c>
      <c r="N8" s="175">
        <f t="shared" ref="N8" si="2">SUM(B8:M8)+SUM(B9:M9)</f>
        <v>49267.659407047089</v>
      </c>
      <c r="O8" s="175">
        <v>37606.286967377564</v>
      </c>
      <c r="P8" s="175">
        <v>44862.085158496579</v>
      </c>
      <c r="Q8" s="176">
        <f t="shared" ref="Q8" si="3">SUM(N8:P8)</f>
        <v>131736.03153292122</v>
      </c>
    </row>
    <row r="9" spans="1:17" ht="11.4" x14ac:dyDescent="0.3">
      <c r="A9" s="177"/>
      <c r="B9" s="178">
        <f>Янв!Q12</f>
        <v>0</v>
      </c>
      <c r="C9" s="178">
        <f>Фев!Q12</f>
        <v>0</v>
      </c>
      <c r="D9" s="178">
        <f>Мар!Q12</f>
        <v>0</v>
      </c>
      <c r="E9" s="178">
        <f>Апр!Q12</f>
        <v>0</v>
      </c>
      <c r="F9" s="178">
        <f>Май!Q12</f>
        <v>0</v>
      </c>
      <c r="G9" s="178">
        <f>Июн!Q12</f>
        <v>0</v>
      </c>
      <c r="H9" s="178">
        <f>Июл!Q12</f>
        <v>0</v>
      </c>
      <c r="I9" s="178">
        <f>Авг!Q12</f>
        <v>0</v>
      </c>
      <c r="J9" s="178">
        <f>Сен!Q12</f>
        <v>0</v>
      </c>
      <c r="K9" s="178">
        <f>Окт!Q12</f>
        <v>0</v>
      </c>
      <c r="L9" s="178">
        <f>Ноя!Q12</f>
        <v>0</v>
      </c>
      <c r="M9" s="178">
        <f>Дек!Q12</f>
        <v>0</v>
      </c>
      <c r="N9" s="178"/>
      <c r="O9" s="178"/>
      <c r="P9" s="178"/>
      <c r="Q9" s="179"/>
    </row>
    <row r="10" spans="1:17" ht="11.4" x14ac:dyDescent="0.3">
      <c r="A10" s="174" t="s">
        <v>61</v>
      </c>
      <c r="B10" s="175">
        <f>Янв!Q13</f>
        <v>0</v>
      </c>
      <c r="C10" s="175">
        <f>Фев!Q13</f>
        <v>0</v>
      </c>
      <c r="D10" s="175">
        <f>Мар!Q13</f>
        <v>0</v>
      </c>
      <c r="E10" s="175">
        <f>Апр!Q13</f>
        <v>0</v>
      </c>
      <c r="F10" s="175">
        <f>Май!Q13</f>
        <v>0</v>
      </c>
      <c r="G10" s="175">
        <f>Июн!Q13</f>
        <v>0</v>
      </c>
      <c r="H10" s="175">
        <f>Июл!Q13</f>
        <v>0</v>
      </c>
      <c r="I10" s="175">
        <f>Авг!Q13</f>
        <v>0</v>
      </c>
      <c r="J10" s="175">
        <f>Сен!Q13</f>
        <v>0</v>
      </c>
      <c r="K10" s="175">
        <f>Окт!Q13</f>
        <v>0</v>
      </c>
      <c r="L10" s="175">
        <f>Ноя!Q13</f>
        <v>0</v>
      </c>
      <c r="M10" s="175">
        <f>Дек!Q13</f>
        <v>0</v>
      </c>
      <c r="N10" s="175">
        <f t="shared" ref="N10" si="4">SUM(B10:M10)+SUM(B11:M11)</f>
        <v>41332.429827343214</v>
      </c>
      <c r="O10" s="175">
        <v>36635.208175527361</v>
      </c>
      <c r="P10" s="175">
        <v>34835.095728079454</v>
      </c>
      <c r="Q10" s="176">
        <f t="shared" ref="Q10" si="5">SUM(N10:P10)</f>
        <v>112802.73373095003</v>
      </c>
    </row>
    <row r="11" spans="1:17" ht="11.4" x14ac:dyDescent="0.3">
      <c r="A11" s="177"/>
      <c r="B11" s="178">
        <f>Янв!Q14</f>
        <v>2539.9249055823097</v>
      </c>
      <c r="C11" s="178">
        <f>Фев!Q14</f>
        <v>5494.3856899859402</v>
      </c>
      <c r="D11" s="178">
        <f>Мар!Q14</f>
        <v>2282.9170178270874</v>
      </c>
      <c r="E11" s="178">
        <f>Апр!Q14</f>
        <v>4023.5777112870746</v>
      </c>
      <c r="F11" s="178">
        <f>Май!Q14</f>
        <v>25406.738089496834</v>
      </c>
      <c r="G11" s="178">
        <f>Июн!Q14</f>
        <v>-12640.306151664618</v>
      </c>
      <c r="H11" s="178">
        <f>Июл!Q14</f>
        <v>5080.4028564486653</v>
      </c>
      <c r="I11" s="178">
        <f>Авг!Q14</f>
        <v>1762.9217973043583</v>
      </c>
      <c r="J11" s="178">
        <f>Сен!Q14</f>
        <v>3666.1908026782689</v>
      </c>
      <c r="K11" s="178">
        <f>Окт!Q14</f>
        <v>2564.025213384642</v>
      </c>
      <c r="L11" s="178">
        <f>Ноя!Q14</f>
        <v>1151.6518950126526</v>
      </c>
      <c r="M11" s="178">
        <f>Дек!Q14</f>
        <v>0</v>
      </c>
      <c r="N11" s="178"/>
      <c r="O11" s="178"/>
      <c r="P11" s="178"/>
      <c r="Q11" s="179"/>
    </row>
    <row r="12" spans="1:17" x14ac:dyDescent="0.3">
      <c r="N12" s="180">
        <f>SUM(N4:N11)</f>
        <v>145974.78040000697</v>
      </c>
      <c r="O12" s="180">
        <f>SUM(O4:O11)</f>
        <v>123217.16599999554</v>
      </c>
      <c r="P12" s="180">
        <v>127846.832800018</v>
      </c>
      <c r="Q12" s="181">
        <f>SUM(N12:P12)</f>
        <v>397038.77920002054</v>
      </c>
    </row>
    <row r="13" spans="1:17" s="192" customFormat="1" ht="13.2" x14ac:dyDescent="0.3">
      <c r="A13" s="187" t="s">
        <v>114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87"/>
      <c r="O13" s="187"/>
      <c r="P13" s="187"/>
      <c r="Q13" s="190"/>
    </row>
    <row r="15" spans="1:17" s="185" customFormat="1" ht="24" x14ac:dyDescent="0.3">
      <c r="A15" s="182" t="s">
        <v>6</v>
      </c>
      <c r="B15" s="183" t="s">
        <v>98</v>
      </c>
      <c r="C15" s="184" t="s">
        <v>99</v>
      </c>
      <c r="D15" s="184" t="s">
        <v>100</v>
      </c>
      <c r="E15" s="184" t="s">
        <v>101</v>
      </c>
      <c r="F15" s="184" t="s">
        <v>102</v>
      </c>
      <c r="G15" s="184" t="s">
        <v>103</v>
      </c>
      <c r="H15" s="184" t="s">
        <v>104</v>
      </c>
      <c r="I15" s="184" t="s">
        <v>105</v>
      </c>
      <c r="J15" s="184" t="s">
        <v>106</v>
      </c>
      <c r="K15" s="184" t="s">
        <v>107</v>
      </c>
      <c r="L15" s="184" t="s">
        <v>108</v>
      </c>
      <c r="M15" s="184" t="s">
        <v>109</v>
      </c>
      <c r="N15" s="193" t="s">
        <v>115</v>
      </c>
    </row>
    <row r="16" spans="1:17" ht="11.4" x14ac:dyDescent="0.3">
      <c r="A16" s="174" t="s">
        <v>51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6">
        <f>Q4-SUM(B16:M16)</f>
        <v>104573.26750958629</v>
      </c>
      <c r="O16" s="164"/>
      <c r="P16" s="164"/>
      <c r="Q16" s="164"/>
    </row>
    <row r="17" spans="1:17" ht="11.4" x14ac:dyDescent="0.3">
      <c r="A17" s="177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79"/>
      <c r="O17" s="164"/>
      <c r="P17" s="164"/>
      <c r="Q17" s="164"/>
    </row>
    <row r="18" spans="1:17" ht="11.4" x14ac:dyDescent="0.3">
      <c r="A18" s="174" t="s">
        <v>54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6">
        <f t="shared" ref="N18" si="6">Q6-SUM(B18:M18)</f>
        <v>47926.746426562939</v>
      </c>
      <c r="O18" s="164"/>
      <c r="P18" s="164"/>
      <c r="Q18" s="164"/>
    </row>
    <row r="19" spans="1:17" ht="11.4" x14ac:dyDescent="0.3">
      <c r="A19" s="177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79"/>
      <c r="O19" s="164"/>
      <c r="P19" s="164"/>
      <c r="Q19" s="164"/>
    </row>
    <row r="20" spans="1:17" ht="11.4" x14ac:dyDescent="0.3">
      <c r="A20" s="174" t="s">
        <v>58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6">
        <f t="shared" ref="N20" si="7">Q8-SUM(B20:M20)</f>
        <v>131736.03153292122</v>
      </c>
      <c r="O20" s="164"/>
      <c r="P20" s="164"/>
      <c r="Q20" s="164"/>
    </row>
    <row r="21" spans="1:17" ht="11.4" x14ac:dyDescent="0.3">
      <c r="A21" s="177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79"/>
      <c r="O21" s="164"/>
      <c r="P21" s="164"/>
      <c r="Q21" s="164"/>
    </row>
    <row r="22" spans="1:17" ht="11.4" x14ac:dyDescent="0.3">
      <c r="A22" s="174" t="s">
        <v>61</v>
      </c>
      <c r="B22" s="175"/>
      <c r="C22" s="175"/>
      <c r="D22" s="175">
        <v>81787.531517002149</v>
      </c>
      <c r="E22" s="175"/>
      <c r="F22" s="175"/>
      <c r="G22" s="175"/>
      <c r="H22" s="175"/>
      <c r="I22" s="175"/>
      <c r="J22" s="175"/>
      <c r="K22" s="175"/>
      <c r="L22" s="175"/>
      <c r="M22" s="175"/>
      <c r="N22" s="176">
        <f t="shared" ref="N22" si="8">Q10-SUM(B22:M22)</f>
        <v>31015.202213947879</v>
      </c>
      <c r="O22" s="164"/>
      <c r="P22" s="164"/>
      <c r="Q22" s="164"/>
    </row>
    <row r="23" spans="1:17" ht="11.4" x14ac:dyDescent="0.3">
      <c r="A23" s="177"/>
      <c r="B23" s="186"/>
      <c r="C23" s="186"/>
      <c r="D23" s="186">
        <v>44652</v>
      </c>
      <c r="E23" s="186"/>
      <c r="F23" s="186"/>
      <c r="G23" s="186"/>
      <c r="H23" s="186"/>
      <c r="I23" s="186"/>
      <c r="J23" s="186"/>
      <c r="K23" s="186"/>
      <c r="L23" s="186"/>
      <c r="M23" s="186"/>
      <c r="N23" s="179"/>
      <c r="O23" s="164"/>
      <c r="P23" s="164"/>
      <c r="Q23" s="164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953F1-2022-419D-804B-9568DDD6A0BA}">
  <sheetPr>
    <tabColor rgb="FF00FF00"/>
  </sheetPr>
  <dimension ref="A1:U28"/>
  <sheetViews>
    <sheetView showZeros="0" workbookViewId="0">
      <selection activeCell="D2" sqref="D2"/>
    </sheetView>
  </sheetViews>
  <sheetFormatPr defaultRowHeight="14.4" x14ac:dyDescent="0.3"/>
  <cols>
    <col min="1" max="1" width="9.109375" customWidth="1"/>
    <col min="2" max="2" width="11.44140625" bestFit="1" customWidth="1"/>
    <col min="3" max="3" width="13.33203125" bestFit="1" customWidth="1"/>
    <col min="4" max="5" width="9.109375" customWidth="1"/>
    <col min="6" max="6" width="7.21875" bestFit="1" customWidth="1"/>
    <col min="7" max="7" width="6.5546875" customWidth="1"/>
    <col min="8" max="8" width="10.44140625" customWidth="1"/>
    <col min="9" max="9" width="7.88671875" bestFit="1" customWidth="1"/>
    <col min="10" max="11" width="5.33203125" bestFit="1" customWidth="1"/>
    <col min="12" max="12" width="11.21875" customWidth="1"/>
    <col min="13" max="13" width="11.6640625" bestFit="1" customWidth="1"/>
    <col min="14" max="14" width="6.44140625" bestFit="1" customWidth="1"/>
    <col min="15" max="15" width="7.88671875" customWidth="1"/>
    <col min="16" max="16" width="10.109375" bestFit="1" customWidth="1"/>
    <col min="17" max="17" width="8.77734375" bestFit="1" customWidth="1"/>
    <col min="18" max="19" width="10.5546875" bestFit="1" customWidth="1"/>
    <col min="20" max="20" width="10.109375" bestFit="1" customWidth="1"/>
    <col min="21" max="21" width="12.109375" bestFit="1" customWidth="1"/>
  </cols>
  <sheetData>
    <row r="1" spans="1:21" ht="15.6" x14ac:dyDescent="0.3">
      <c r="A1" s="1" t="s">
        <v>0</v>
      </c>
      <c r="B1" s="1"/>
      <c r="C1" s="1"/>
      <c r="D1" s="2"/>
      <c r="E1" s="2"/>
      <c r="F1" s="2"/>
      <c r="G1" s="1"/>
      <c r="H1" s="3"/>
      <c r="I1" s="3"/>
      <c r="J1" s="4"/>
      <c r="K1" s="4"/>
      <c r="L1" s="5"/>
      <c r="M1" s="5"/>
      <c r="N1" s="6"/>
      <c r="O1" s="7"/>
      <c r="P1" s="7"/>
      <c r="Q1" s="4"/>
      <c r="R1" s="4"/>
      <c r="S1" s="4"/>
      <c r="T1" s="8"/>
      <c r="U1" s="9"/>
    </row>
    <row r="2" spans="1:21" x14ac:dyDescent="0.3">
      <c r="A2" s="10" t="s">
        <v>1</v>
      </c>
      <c r="B2" s="11" t="s">
        <v>83</v>
      </c>
      <c r="C2" s="12" t="s">
        <v>3</v>
      </c>
      <c r="D2" s="13">
        <v>2022</v>
      </c>
      <c r="E2" s="14" t="s">
        <v>4</v>
      </c>
      <c r="F2" s="15">
        <v>24</v>
      </c>
      <c r="G2" s="16"/>
      <c r="H2" s="16"/>
      <c r="I2" s="16"/>
      <c r="J2" s="16"/>
      <c r="K2" s="16"/>
      <c r="L2" s="17"/>
      <c r="M2" s="16"/>
      <c r="N2" s="16"/>
      <c r="O2" s="18" t="s">
        <v>5</v>
      </c>
      <c r="P2" s="19">
        <v>34</v>
      </c>
      <c r="Q2" s="20"/>
      <c r="R2" s="20"/>
      <c r="S2" s="21"/>
      <c r="T2" s="22"/>
      <c r="U2" s="23"/>
    </row>
    <row r="3" spans="1:21" s="139" customFormat="1" ht="12" x14ac:dyDescent="0.25">
      <c r="A3" s="138" t="s">
        <v>85</v>
      </c>
      <c r="B3" s="20"/>
      <c r="C3" s="140">
        <v>5.93</v>
      </c>
      <c r="D3" s="24"/>
      <c r="E3" s="137" t="s">
        <v>86</v>
      </c>
      <c r="F3" s="24"/>
      <c r="G3" s="140">
        <v>4.1500000000000004</v>
      </c>
      <c r="H3" s="26"/>
      <c r="I3" s="26"/>
      <c r="J3" s="16"/>
      <c r="K3" s="16"/>
      <c r="L3" s="16"/>
      <c r="M3" s="16"/>
      <c r="N3" s="17"/>
      <c r="O3" s="16"/>
      <c r="P3" s="16"/>
      <c r="Q3" s="16"/>
      <c r="R3" s="16"/>
      <c r="S3" s="16"/>
      <c r="T3" s="22"/>
      <c r="U3" s="23"/>
    </row>
    <row r="4" spans="1:21" x14ac:dyDescent="0.3">
      <c r="A4" s="27" t="s">
        <v>6</v>
      </c>
      <c r="B4" s="199" t="s">
        <v>7</v>
      </c>
      <c r="C4" s="200"/>
      <c r="D4" s="205" t="s">
        <v>8</v>
      </c>
      <c r="E4" s="206"/>
      <c r="F4" s="28" t="s">
        <v>9</v>
      </c>
      <c r="G4" s="29" t="s">
        <v>10</v>
      </c>
      <c r="H4" s="30" t="s">
        <v>11</v>
      </c>
      <c r="I4" s="30" t="s">
        <v>12</v>
      </c>
      <c r="J4" s="31" t="s">
        <v>13</v>
      </c>
      <c r="K4" s="32" t="s">
        <v>14</v>
      </c>
      <c r="L4" s="33" t="s">
        <v>15</v>
      </c>
      <c r="M4" s="33" t="s">
        <v>16</v>
      </c>
      <c r="N4" s="34" t="s">
        <v>17</v>
      </c>
      <c r="O4" s="35" t="s">
        <v>18</v>
      </c>
      <c r="P4" s="35" t="s">
        <v>19</v>
      </c>
      <c r="Q4" s="35" t="s">
        <v>15</v>
      </c>
      <c r="R4" s="36" t="s">
        <v>20</v>
      </c>
      <c r="S4" s="37" t="s">
        <v>21</v>
      </c>
      <c r="T4" s="38" t="s">
        <v>22</v>
      </c>
      <c r="U4" s="23" t="s">
        <v>23</v>
      </c>
    </row>
    <row r="5" spans="1:21" x14ac:dyDescent="0.3">
      <c r="A5" s="39"/>
      <c r="B5" s="27" t="s">
        <v>24</v>
      </c>
      <c r="C5" s="27" t="s">
        <v>25</v>
      </c>
      <c r="D5" s="207" t="s">
        <v>26</v>
      </c>
      <c r="E5" s="208"/>
      <c r="F5" s="40"/>
      <c r="G5" s="41" t="s">
        <v>27</v>
      </c>
      <c r="H5" s="39" t="s">
        <v>28</v>
      </c>
      <c r="I5" s="39" t="s">
        <v>29</v>
      </c>
      <c r="J5" s="42" t="s">
        <v>30</v>
      </c>
      <c r="K5" s="43" t="s">
        <v>31</v>
      </c>
      <c r="L5" s="44" t="s">
        <v>32</v>
      </c>
      <c r="M5" s="44" t="s">
        <v>33</v>
      </c>
      <c r="N5" s="45" t="s">
        <v>34</v>
      </c>
      <c r="O5" s="46" t="s">
        <v>35</v>
      </c>
      <c r="P5" s="46" t="s">
        <v>36</v>
      </c>
      <c r="Q5" s="46" t="s">
        <v>37</v>
      </c>
      <c r="R5" s="47" t="s">
        <v>38</v>
      </c>
      <c r="S5" s="48" t="s">
        <v>39</v>
      </c>
      <c r="T5" s="38" t="s">
        <v>40</v>
      </c>
      <c r="U5" s="23" t="s">
        <v>41</v>
      </c>
    </row>
    <row r="6" spans="1:21" x14ac:dyDescent="0.3">
      <c r="A6" s="49"/>
      <c r="B6" s="49" t="s">
        <v>42</v>
      </c>
      <c r="C6" s="49" t="s">
        <v>42</v>
      </c>
      <c r="D6" s="50" t="s">
        <v>43</v>
      </c>
      <c r="E6" s="51" t="s">
        <v>44</v>
      </c>
      <c r="F6" s="52"/>
      <c r="G6" s="53" t="s">
        <v>45</v>
      </c>
      <c r="H6" s="54" t="s">
        <v>46</v>
      </c>
      <c r="I6" s="54" t="s">
        <v>47</v>
      </c>
      <c r="J6" s="55" t="s">
        <v>46</v>
      </c>
      <c r="K6" s="56"/>
      <c r="L6" s="57" t="s">
        <v>48</v>
      </c>
      <c r="M6" s="57" t="s">
        <v>48</v>
      </c>
      <c r="N6" s="58"/>
      <c r="O6" s="59" t="s">
        <v>46</v>
      </c>
      <c r="P6" s="59" t="s">
        <v>46</v>
      </c>
      <c r="Q6" s="59" t="s">
        <v>48</v>
      </c>
      <c r="R6" s="60" t="s">
        <v>49</v>
      </c>
      <c r="S6" s="60" t="s">
        <v>49</v>
      </c>
      <c r="T6" s="38" t="s">
        <v>34</v>
      </c>
      <c r="U6" s="23" t="s">
        <v>50</v>
      </c>
    </row>
    <row r="7" spans="1:21" x14ac:dyDescent="0.3">
      <c r="A7" s="61" t="s">
        <v>51</v>
      </c>
      <c r="B7" s="62" t="s">
        <v>52</v>
      </c>
      <c r="C7" s="63" t="s">
        <v>53</v>
      </c>
      <c r="D7" s="64">
        <f>'Декабрь пред.'!E7</f>
        <v>70866.7</v>
      </c>
      <c r="E7" s="65">
        <v>72549.702000000005</v>
      </c>
      <c r="F7" s="66">
        <f>IF(E7&gt;0,E7-D7,0)</f>
        <v>1683.0020000000077</v>
      </c>
      <c r="G7" s="67">
        <v>60</v>
      </c>
      <c r="H7" s="68">
        <f>F7*G7</f>
        <v>100980.12000000046</v>
      </c>
      <c r="I7" s="69"/>
      <c r="J7" s="70">
        <f>IF(G7&gt;0,$C$3,0)</f>
        <v>5.93</v>
      </c>
      <c r="K7" s="70">
        <f>IF(G7&gt;0,$G$3,0)</f>
        <v>4.1500000000000004</v>
      </c>
      <c r="L7" s="71">
        <f t="shared" ref="L7:L13" si="0">J7*(H7-I7)+I7*K7</f>
        <v>598812.11160000274</v>
      </c>
      <c r="M7" s="71">
        <f>L7+L8</f>
        <v>598812.11160000274</v>
      </c>
      <c r="N7" s="72">
        <v>8.4239417043940584E-2</v>
      </c>
      <c r="O7" s="73">
        <f>H7*N7</f>
        <v>8506.506441827205</v>
      </c>
      <c r="P7" s="68">
        <f>IF($O$19&gt;0,O7*$H$19/$O$19,0)</f>
        <v>356.70623084179226</v>
      </c>
      <c r="Q7" s="16">
        <f>J7*P7</f>
        <v>2115.2679488918279</v>
      </c>
      <c r="R7" s="74">
        <f>IF(P7&gt;0,L7+Q7,L7)</f>
        <v>600927.37954889459</v>
      </c>
      <c r="S7" s="75">
        <f t="shared" ref="S7" si="1">R7+R8</f>
        <v>600927.37954889459</v>
      </c>
      <c r="T7" s="22">
        <f>L7+Q7</f>
        <v>600927.37954889459</v>
      </c>
      <c r="U7" s="23">
        <f t="shared" ref="U7:U14" si="2">IF($P$2&gt;0,H7/$P$2,0)</f>
        <v>2970.0035294117783</v>
      </c>
    </row>
    <row r="8" spans="1:21" x14ac:dyDescent="0.3">
      <c r="A8" s="76"/>
      <c r="B8" s="77"/>
      <c r="C8" s="78"/>
      <c r="D8" s="79">
        <f>'Декабрь пред.'!E8</f>
        <v>0</v>
      </c>
      <c r="E8" s="80"/>
      <c r="F8" s="81"/>
      <c r="G8" s="82"/>
      <c r="H8" s="83"/>
      <c r="I8" s="84"/>
      <c r="J8" s="85">
        <f t="shared" ref="J8:J16" si="3">IF(G8&gt;0,$C$3,0)</f>
        <v>0</v>
      </c>
      <c r="K8" s="135">
        <f t="shared" ref="K8:K16" si="4">IF(G8&gt;0,$G$3,0)</f>
        <v>0</v>
      </c>
      <c r="L8" s="86">
        <f t="shared" si="0"/>
        <v>0</v>
      </c>
      <c r="M8" s="86"/>
      <c r="N8" s="87"/>
      <c r="O8" s="83"/>
      <c r="P8" s="83"/>
      <c r="Q8" s="88"/>
      <c r="R8" s="89"/>
      <c r="S8" s="90"/>
      <c r="T8" s="22"/>
      <c r="U8" s="23">
        <f t="shared" si="2"/>
        <v>0</v>
      </c>
    </row>
    <row r="9" spans="1:21" x14ac:dyDescent="0.3">
      <c r="A9" s="61" t="s">
        <v>54</v>
      </c>
      <c r="B9" s="62" t="s">
        <v>55</v>
      </c>
      <c r="C9" s="63" t="s">
        <v>56</v>
      </c>
      <c r="D9" s="64">
        <f>'Декабрь пред.'!E9</f>
        <v>13256.4</v>
      </c>
      <c r="E9" s="65">
        <v>14244.5</v>
      </c>
      <c r="F9" s="66">
        <f t="shared" ref="F9:F15" si="5">IF(E9&gt;0,E9-D9,0)</f>
        <v>988.10000000000036</v>
      </c>
      <c r="G9" s="67">
        <v>50</v>
      </c>
      <c r="H9" s="68">
        <f>F9*G9+F10*G10</f>
        <v>49405.000000000015</v>
      </c>
      <c r="I9" s="69"/>
      <c r="J9" s="70">
        <f t="shared" si="3"/>
        <v>5.93</v>
      </c>
      <c r="K9" s="70">
        <f t="shared" si="4"/>
        <v>4.1500000000000004</v>
      </c>
      <c r="L9" s="71">
        <f t="shared" si="0"/>
        <v>292971.65000000008</v>
      </c>
      <c r="M9" s="71">
        <f t="shared" ref="M9" si="6">L9+L10</f>
        <v>292971.65000000008</v>
      </c>
      <c r="N9" s="72">
        <v>8.4239417043940584E-2</v>
      </c>
      <c r="O9" s="73">
        <f>H9*N9</f>
        <v>4161.8483990558861</v>
      </c>
      <c r="P9" s="68">
        <f t="shared" ref="P9" si="7">IF($O$19&gt;0,O9*$H$19/$O$19,0)</f>
        <v>174.520205905268</v>
      </c>
      <c r="Q9" s="16">
        <f>J9*P9</f>
        <v>1034.9048210182391</v>
      </c>
      <c r="R9" s="74">
        <f t="shared" ref="R9" si="8">IF(P9&gt;0,L9+Q9,L9)</f>
        <v>294006.5548210183</v>
      </c>
      <c r="S9" s="91">
        <f t="shared" ref="S9" si="9">R9+R10</f>
        <v>294006.5548210183</v>
      </c>
      <c r="T9" s="22">
        <f t="shared" ref="T9" si="10">L9+Q9</f>
        <v>294006.5548210183</v>
      </c>
      <c r="U9" s="23">
        <f t="shared" si="2"/>
        <v>1453.088235294118</v>
      </c>
    </row>
    <row r="10" spans="1:21" x14ac:dyDescent="0.3">
      <c r="A10" s="92" t="s">
        <v>57</v>
      </c>
      <c r="B10" s="77"/>
      <c r="C10" s="78"/>
      <c r="D10" s="79">
        <f>'Декабрь пред.'!E10</f>
        <v>0</v>
      </c>
      <c r="E10" s="80"/>
      <c r="F10" s="93"/>
      <c r="G10" s="82"/>
      <c r="H10" s="83"/>
      <c r="I10" s="84"/>
      <c r="J10" s="85">
        <f t="shared" si="3"/>
        <v>0</v>
      </c>
      <c r="K10" s="135">
        <f t="shared" si="4"/>
        <v>0</v>
      </c>
      <c r="L10" s="86">
        <f t="shared" si="0"/>
        <v>0</v>
      </c>
      <c r="M10" s="86"/>
      <c r="N10" s="87"/>
      <c r="O10" s="83"/>
      <c r="P10" s="83"/>
      <c r="Q10" s="88"/>
      <c r="R10" s="89"/>
      <c r="S10" s="90"/>
      <c r="T10" s="22"/>
      <c r="U10" s="23">
        <f t="shared" si="2"/>
        <v>0</v>
      </c>
    </row>
    <row r="11" spans="1:21" x14ac:dyDescent="0.3">
      <c r="A11" s="94" t="s">
        <v>58</v>
      </c>
      <c r="B11" s="62" t="s">
        <v>55</v>
      </c>
      <c r="C11" s="63" t="s">
        <v>59</v>
      </c>
      <c r="D11" s="64">
        <f>'Декабрь пред.'!E11</f>
        <v>80553.100000000006</v>
      </c>
      <c r="E11" s="95">
        <v>82481.100000000006</v>
      </c>
      <c r="F11" s="66">
        <f t="shared" si="5"/>
        <v>1928</v>
      </c>
      <c r="G11" s="67">
        <v>60</v>
      </c>
      <c r="H11" s="68">
        <f t="shared" ref="H11:H15" si="11">F11*G11</f>
        <v>115680</v>
      </c>
      <c r="I11" s="69"/>
      <c r="J11" s="70">
        <f t="shared" si="3"/>
        <v>5.93</v>
      </c>
      <c r="K11" s="70">
        <f t="shared" si="4"/>
        <v>4.1500000000000004</v>
      </c>
      <c r="L11" s="71">
        <f t="shared" si="0"/>
        <v>685982.4</v>
      </c>
      <c r="M11" s="71">
        <f t="shared" ref="M11" si="12">L11+L12</f>
        <v>685982.4</v>
      </c>
      <c r="N11" s="72">
        <v>9.3867222073683532E-2</v>
      </c>
      <c r="O11" s="73">
        <f>H11*N11</f>
        <v>10858.560249483711</v>
      </c>
      <c r="P11" s="68">
        <f t="shared" ref="P11:P14" si="13">IF($O$19&gt;0,O11*$H$19/$O$19,0)</f>
        <v>455.33570396378315</v>
      </c>
      <c r="Q11" s="16">
        <f>J11*P11</f>
        <v>2700.1407245052337</v>
      </c>
      <c r="R11" s="74">
        <f t="shared" ref="R11:R14" si="14">IF(P11&gt;0,L11+Q11,L11)</f>
        <v>688682.5407245052</v>
      </c>
      <c r="S11" s="91">
        <f t="shared" ref="S11" si="15">R11+R12</f>
        <v>688682.5407245052</v>
      </c>
      <c r="T11" s="22">
        <f t="shared" ref="T11:T14" si="16">L11+Q11</f>
        <v>688682.5407245052</v>
      </c>
      <c r="U11" s="23">
        <f t="shared" si="2"/>
        <v>3402.3529411764707</v>
      </c>
    </row>
    <row r="12" spans="1:21" x14ac:dyDescent="0.3">
      <c r="A12" s="76"/>
      <c r="B12" s="77" t="s">
        <v>55</v>
      </c>
      <c r="C12" s="78" t="s">
        <v>60</v>
      </c>
      <c r="D12" s="79">
        <f>'Декабрь пред.'!E12</f>
        <v>3</v>
      </c>
      <c r="E12" s="80">
        <v>3</v>
      </c>
      <c r="F12" s="81">
        <f t="shared" si="5"/>
        <v>0</v>
      </c>
      <c r="G12" s="82">
        <f>400/5</f>
        <v>80</v>
      </c>
      <c r="H12" s="83">
        <f t="shared" si="11"/>
        <v>0</v>
      </c>
      <c r="I12" s="84"/>
      <c r="J12" s="85">
        <f t="shared" si="3"/>
        <v>5.93</v>
      </c>
      <c r="K12" s="135">
        <f t="shared" si="4"/>
        <v>4.1500000000000004</v>
      </c>
      <c r="L12" s="86">
        <f t="shared" si="0"/>
        <v>0</v>
      </c>
      <c r="M12" s="86"/>
      <c r="N12" s="87">
        <v>9.3867222073683532E-2</v>
      </c>
      <c r="O12" s="83">
        <f>H12*N12</f>
        <v>0</v>
      </c>
      <c r="P12" s="83">
        <f t="shared" si="13"/>
        <v>0</v>
      </c>
      <c r="Q12" s="88">
        <f>J12*P12</f>
        <v>0</v>
      </c>
      <c r="R12" s="89">
        <f t="shared" si="14"/>
        <v>0</v>
      </c>
      <c r="S12" s="90"/>
      <c r="T12" s="22">
        <f t="shared" si="16"/>
        <v>0</v>
      </c>
      <c r="U12" s="23">
        <f t="shared" si="2"/>
        <v>0</v>
      </c>
    </row>
    <row r="13" spans="1:21" x14ac:dyDescent="0.3">
      <c r="A13" s="94" t="s">
        <v>61</v>
      </c>
      <c r="B13" s="62" t="s">
        <v>55</v>
      </c>
      <c r="C13" s="63" t="s">
        <v>62</v>
      </c>
      <c r="D13" s="64">
        <f>'Декабрь пред.'!E13</f>
        <v>7770.7</v>
      </c>
      <c r="E13" s="95">
        <v>7770.7</v>
      </c>
      <c r="F13" s="66">
        <f t="shared" si="5"/>
        <v>0</v>
      </c>
      <c r="G13" s="67">
        <v>40</v>
      </c>
      <c r="H13" s="68">
        <f t="shared" si="11"/>
        <v>0</v>
      </c>
      <c r="I13" s="96"/>
      <c r="J13" s="70">
        <f t="shared" si="3"/>
        <v>5.93</v>
      </c>
      <c r="K13" s="70">
        <f t="shared" si="4"/>
        <v>4.1500000000000004</v>
      </c>
      <c r="L13" s="71">
        <f t="shared" si="0"/>
        <v>0</v>
      </c>
      <c r="M13" s="71">
        <f t="shared" ref="M13" si="17">L13+L14</f>
        <v>639705.70000000019</v>
      </c>
      <c r="N13" s="72">
        <v>9.3867222073683532E-2</v>
      </c>
      <c r="O13" s="73">
        <f>H13*N13</f>
        <v>0</v>
      </c>
      <c r="P13" s="68">
        <f t="shared" si="13"/>
        <v>0</v>
      </c>
      <c r="Q13" s="16">
        <f>J13*P13</f>
        <v>0</v>
      </c>
      <c r="R13" s="74">
        <f t="shared" si="14"/>
        <v>0</v>
      </c>
      <c r="S13" s="91">
        <f t="shared" ref="S13" si="18">R13+R14</f>
        <v>642245.62490558252</v>
      </c>
      <c r="T13" s="22">
        <f t="shared" si="16"/>
        <v>0</v>
      </c>
      <c r="U13" s="23">
        <f t="shared" si="2"/>
        <v>0</v>
      </c>
    </row>
    <row r="14" spans="1:21" x14ac:dyDescent="0.3">
      <c r="A14" s="76"/>
      <c r="B14" s="77" t="s">
        <v>55</v>
      </c>
      <c r="C14" s="78" t="s">
        <v>63</v>
      </c>
      <c r="D14" s="79">
        <f>'Декабрь пред.'!E14</f>
        <v>3493.4</v>
      </c>
      <c r="E14" s="80">
        <v>4853.6000000000004</v>
      </c>
      <c r="F14" s="81">
        <f t="shared" si="5"/>
        <v>1360.2000000000003</v>
      </c>
      <c r="G14" s="82">
        <f>400/5</f>
        <v>80</v>
      </c>
      <c r="H14" s="83">
        <f t="shared" si="11"/>
        <v>108816.00000000003</v>
      </c>
      <c r="I14" s="158">
        <v>3131</v>
      </c>
      <c r="J14" s="85">
        <f t="shared" si="3"/>
        <v>5.93</v>
      </c>
      <c r="K14" s="135">
        <f t="shared" si="4"/>
        <v>4.1500000000000004</v>
      </c>
      <c r="L14" s="86">
        <f>J14*(H14-I14)+I14*K14</f>
        <v>639705.70000000019</v>
      </c>
      <c r="M14" s="86"/>
      <c r="N14" s="87">
        <v>9.3867222073683532E-2</v>
      </c>
      <c r="O14" s="83">
        <f>H14*N14</f>
        <v>10214.25563716995</v>
      </c>
      <c r="P14" s="83">
        <f t="shared" si="13"/>
        <v>428.31785928875377</v>
      </c>
      <c r="Q14" s="88">
        <f>J14*P14</f>
        <v>2539.9249055823097</v>
      </c>
      <c r="R14" s="89">
        <f t="shared" si="14"/>
        <v>642245.62490558252</v>
      </c>
      <c r="S14" s="98"/>
      <c r="T14" s="22">
        <f t="shared" si="16"/>
        <v>642245.62490558252</v>
      </c>
      <c r="U14" s="23">
        <f t="shared" si="2"/>
        <v>3200.4705882352951</v>
      </c>
    </row>
    <row r="15" spans="1:21" x14ac:dyDescent="0.3">
      <c r="A15" s="94" t="s">
        <v>64</v>
      </c>
      <c r="B15" s="62" t="s">
        <v>52</v>
      </c>
      <c r="C15" s="63" t="s">
        <v>65</v>
      </c>
      <c r="D15" s="99">
        <f>'Декабрь пред.'!E15</f>
        <v>2707.623</v>
      </c>
      <c r="E15" s="156">
        <v>2958.4870000000001</v>
      </c>
      <c r="F15" s="101">
        <f t="shared" si="5"/>
        <v>250.86400000000003</v>
      </c>
      <c r="G15" s="102">
        <v>1500</v>
      </c>
      <c r="H15" s="68">
        <f t="shared" si="11"/>
        <v>376296.00000000006</v>
      </c>
      <c r="I15" s="157">
        <f>SUM(I7:I14)</f>
        <v>3131</v>
      </c>
      <c r="J15" s="70">
        <f t="shared" si="3"/>
        <v>5.93</v>
      </c>
      <c r="K15" s="70">
        <f t="shared" si="4"/>
        <v>4.1500000000000004</v>
      </c>
      <c r="L15" s="103">
        <f t="shared" ref="L15:L16" si="19">J15*(H15-I15)+I15*K15</f>
        <v>2225862.1</v>
      </c>
      <c r="M15" s="103"/>
      <c r="N15" s="72"/>
      <c r="O15" s="73"/>
      <c r="P15" s="68"/>
      <c r="Q15" s="16"/>
      <c r="R15" s="103"/>
      <c r="S15" s="104"/>
      <c r="T15" s="22"/>
      <c r="U15" s="23"/>
    </row>
    <row r="16" spans="1:21" x14ac:dyDescent="0.3">
      <c r="A16" s="76" t="s">
        <v>66</v>
      </c>
      <c r="B16" s="77"/>
      <c r="C16" s="78"/>
      <c r="D16" s="105">
        <f>'Декабрь пред.'!E16</f>
        <v>0</v>
      </c>
      <c r="E16" s="106"/>
      <c r="F16" s="107"/>
      <c r="G16" s="108"/>
      <c r="H16" s="83"/>
      <c r="I16" s="84"/>
      <c r="J16" s="85">
        <f t="shared" si="3"/>
        <v>0</v>
      </c>
      <c r="K16" s="135">
        <f t="shared" si="4"/>
        <v>0</v>
      </c>
      <c r="L16" s="109">
        <f t="shared" si="19"/>
        <v>0</v>
      </c>
      <c r="M16" s="109"/>
      <c r="N16" s="87"/>
      <c r="O16" s="83"/>
      <c r="P16" s="83"/>
      <c r="Q16" s="88"/>
      <c r="R16" s="110"/>
      <c r="S16" s="111"/>
      <c r="T16" s="22"/>
      <c r="U16" s="23"/>
    </row>
    <row r="17" spans="1:21" x14ac:dyDescent="0.3">
      <c r="A17" s="20"/>
      <c r="B17" s="20"/>
      <c r="C17" s="20"/>
      <c r="D17" s="24"/>
      <c r="E17" s="24"/>
      <c r="F17" s="24"/>
      <c r="G17" s="112"/>
      <c r="H17" s="26"/>
      <c r="I17" s="26"/>
      <c r="J17" s="16"/>
      <c r="K17" s="16"/>
      <c r="L17" s="113"/>
      <c r="M17" s="113"/>
      <c r="N17" s="17"/>
      <c r="O17" s="16"/>
      <c r="P17" s="16"/>
      <c r="Q17" s="16"/>
      <c r="R17" s="16"/>
      <c r="S17" s="16"/>
      <c r="T17" s="22"/>
      <c r="U17" s="23"/>
    </row>
    <row r="18" spans="1:21" x14ac:dyDescent="0.3">
      <c r="A18" s="114"/>
      <c r="B18" s="114"/>
      <c r="C18" s="114"/>
      <c r="D18" s="115"/>
      <c r="E18" s="24"/>
      <c r="F18" s="24"/>
      <c r="G18" s="116" t="s">
        <v>67</v>
      </c>
      <c r="H18" s="26">
        <f>SUM(H7:H14)</f>
        <v>374881.12000000046</v>
      </c>
      <c r="I18" s="26"/>
      <c r="J18" s="20" t="s">
        <v>46</v>
      </c>
      <c r="K18" s="20"/>
      <c r="L18" s="16"/>
      <c r="M18" s="16"/>
      <c r="N18" s="17"/>
      <c r="O18" s="16"/>
      <c r="P18" s="16"/>
      <c r="Q18" s="16"/>
      <c r="R18" s="16"/>
      <c r="S18" s="16"/>
      <c r="T18" s="22"/>
      <c r="U18" s="23"/>
    </row>
    <row r="19" spans="1:21" x14ac:dyDescent="0.3">
      <c r="A19" s="117"/>
      <c r="B19" s="117"/>
      <c r="C19" s="117"/>
      <c r="D19" s="118"/>
      <c r="E19" s="24"/>
      <c r="F19" s="24"/>
      <c r="G19" s="116" t="s">
        <v>68</v>
      </c>
      <c r="H19" s="26">
        <f>IF(H15&gt;0,H15-H18,0)</f>
        <v>1414.8799999995972</v>
      </c>
      <c r="I19" s="26"/>
      <c r="J19" s="20" t="s">
        <v>46</v>
      </c>
      <c r="K19" s="20"/>
      <c r="L19" s="16"/>
      <c r="M19" s="16"/>
      <c r="N19" s="17"/>
      <c r="O19" s="26">
        <f>SUM(O7:O14)</f>
        <v>33741.170727536752</v>
      </c>
      <c r="P19" s="16">
        <f>SUM(P7:P14)</f>
        <v>1414.8799999995972</v>
      </c>
      <c r="Q19" s="16">
        <f>SUM(Q7:Q16)</f>
        <v>8390.23839999761</v>
      </c>
      <c r="R19" s="119">
        <f>SUM(R7:R14)</f>
        <v>2225862.1000000006</v>
      </c>
      <c r="S19" s="119"/>
      <c r="T19" s="120">
        <f>SUM(T7:T14)</f>
        <v>2225862.1000000006</v>
      </c>
      <c r="U19" s="20"/>
    </row>
    <row r="20" spans="1:21" x14ac:dyDescent="0.3">
      <c r="A20" s="117"/>
      <c r="B20" s="117"/>
      <c r="C20" s="117"/>
      <c r="D20" s="118"/>
      <c r="E20" s="24"/>
      <c r="F20" s="24"/>
      <c r="G20" s="116" t="s">
        <v>69</v>
      </c>
      <c r="H20" s="17">
        <f>IF(H15&gt;0,H19/H15,0)</f>
        <v>3.7600187086750773E-3</v>
      </c>
      <c r="I20" s="17"/>
      <c r="J20" s="16"/>
      <c r="K20" s="16"/>
      <c r="L20" s="16"/>
      <c r="M20" s="16"/>
      <c r="N20" s="17"/>
      <c r="O20" s="16"/>
      <c r="P20" s="16"/>
      <c r="Q20" s="16"/>
      <c r="R20" s="16"/>
      <c r="S20" s="16"/>
      <c r="T20" s="22"/>
      <c r="U20" s="20"/>
    </row>
    <row r="21" spans="1:21" x14ac:dyDescent="0.3">
      <c r="A21" s="117"/>
      <c r="B21" s="117"/>
      <c r="C21" s="117"/>
      <c r="D21" s="118"/>
      <c r="E21" s="24"/>
      <c r="F21" s="24"/>
      <c r="G21" s="25"/>
      <c r="H21" s="16"/>
      <c r="I21" s="16"/>
      <c r="J21" s="16"/>
      <c r="K21" s="16"/>
      <c r="L21" s="16"/>
      <c r="M21" s="16"/>
      <c r="N21" s="17"/>
      <c r="O21" s="16"/>
      <c r="P21" s="16"/>
      <c r="Q21" s="16"/>
      <c r="R21" s="16"/>
      <c r="S21" s="16"/>
      <c r="T21" s="22"/>
      <c r="U21" s="20"/>
    </row>
    <row r="22" spans="1:21" x14ac:dyDescent="0.3">
      <c r="A22" s="117"/>
      <c r="B22" s="117"/>
      <c r="C22" s="117"/>
      <c r="D22" s="118"/>
      <c r="E22" s="24"/>
      <c r="F22" s="24"/>
      <c r="G22" s="25"/>
      <c r="H22" s="16"/>
      <c r="I22" s="16"/>
      <c r="J22" s="16"/>
      <c r="K22" s="16"/>
      <c r="L22" s="16"/>
      <c r="M22" s="16"/>
      <c r="N22" s="17"/>
      <c r="O22" s="16"/>
      <c r="P22" s="16"/>
      <c r="Q22" s="16"/>
      <c r="R22" s="121" t="s">
        <v>70</v>
      </c>
      <c r="S22" s="122" t="s">
        <v>71</v>
      </c>
      <c r="T22" s="122" t="s">
        <v>72</v>
      </c>
      <c r="U22" s="20"/>
    </row>
    <row r="23" spans="1:21" x14ac:dyDescent="0.3">
      <c r="A23" s="123"/>
      <c r="B23" s="123"/>
      <c r="C23" s="123"/>
      <c r="D23" s="124"/>
      <c r="E23" s="124"/>
      <c r="F23" s="124"/>
      <c r="G23" s="125" t="s">
        <v>73</v>
      </c>
      <c r="H23" s="119">
        <f>H11+H12+H13+H14</f>
        <v>224496.00000000003</v>
      </c>
      <c r="I23" s="119"/>
      <c r="J23" s="119"/>
      <c r="K23" s="119"/>
      <c r="L23" s="119"/>
      <c r="M23" s="119"/>
      <c r="N23" s="123"/>
      <c r="O23" s="126" t="s">
        <v>74</v>
      </c>
      <c r="P23" s="127">
        <f>115680+108816</f>
        <v>224496</v>
      </c>
      <c r="Q23" s="119"/>
      <c r="R23" s="75" t="s">
        <v>75</v>
      </c>
      <c r="S23" s="128"/>
      <c r="T23" s="129"/>
      <c r="U23" s="123"/>
    </row>
    <row r="24" spans="1:21" x14ac:dyDescent="0.3">
      <c r="A24" s="130"/>
      <c r="B24" s="130"/>
      <c r="C24" s="130"/>
      <c r="D24" s="124"/>
      <c r="E24" s="124"/>
      <c r="F24" s="124"/>
      <c r="G24" s="125" t="s">
        <v>76</v>
      </c>
      <c r="H24" s="119">
        <f>L11+L12+L13+L14</f>
        <v>1325688.1000000001</v>
      </c>
      <c r="I24" s="119"/>
      <c r="J24" s="119"/>
      <c r="K24" s="119"/>
      <c r="L24" s="119"/>
      <c r="M24" s="119"/>
      <c r="N24" s="131"/>
      <c r="O24" s="126" t="s">
        <v>77</v>
      </c>
      <c r="P24" s="127">
        <v>1325687.72</v>
      </c>
      <c r="Q24" s="119"/>
      <c r="R24" s="98">
        <f>M13</f>
        <v>639705.70000000019</v>
      </c>
      <c r="S24" s="132"/>
      <c r="T24" s="98">
        <f>IF(S24&gt;0,R24-S24,0)</f>
        <v>0</v>
      </c>
      <c r="U24" s="117"/>
    </row>
    <row r="25" spans="1:21" x14ac:dyDescent="0.3">
      <c r="A25" s="133"/>
      <c r="B25" s="133"/>
      <c r="C25" s="133"/>
      <c r="D25" s="24"/>
      <c r="E25" s="24"/>
      <c r="F25" s="24"/>
      <c r="G25" s="25"/>
      <c r="H25" s="16"/>
      <c r="I25" s="16"/>
      <c r="J25" s="16"/>
      <c r="K25" s="16"/>
      <c r="L25" s="16"/>
      <c r="M25" s="16"/>
      <c r="N25" s="17"/>
      <c r="O25" s="159" t="s">
        <v>112</v>
      </c>
      <c r="P25" s="155">
        <v>0.38</v>
      </c>
      <c r="Q25" s="16"/>
      <c r="R25" s="104" t="s">
        <v>78</v>
      </c>
      <c r="S25" s="128"/>
      <c r="T25" s="134"/>
      <c r="U25" s="117"/>
    </row>
    <row r="26" spans="1:21" x14ac:dyDescent="0.3">
      <c r="A26" s="20"/>
      <c r="B26" s="20"/>
      <c r="C26" s="20"/>
      <c r="D26" s="24"/>
      <c r="E26" s="24"/>
      <c r="F26" s="24"/>
      <c r="G26" s="25"/>
      <c r="H26" s="26"/>
      <c r="I26" s="26"/>
      <c r="J26" s="16"/>
      <c r="K26" s="16"/>
      <c r="L26" s="16"/>
      <c r="M26" s="16"/>
      <c r="N26" s="17"/>
      <c r="O26" s="160" t="s">
        <v>113</v>
      </c>
      <c r="P26" s="161">
        <f>SUM(P24:P25)</f>
        <v>1325688.0999999999</v>
      </c>
      <c r="Q26" s="16"/>
      <c r="R26" s="111">
        <f>M11</f>
        <v>685982.4</v>
      </c>
      <c r="S26" s="135"/>
      <c r="T26" s="111">
        <f>IF(S26&gt;0,R26-S26,0)</f>
        <v>0</v>
      </c>
      <c r="U26" s="117"/>
    </row>
    <row r="27" spans="1:21" x14ac:dyDescent="0.3">
      <c r="A27" s="20"/>
      <c r="B27" s="20"/>
      <c r="C27" s="20"/>
      <c r="D27" s="24" t="s">
        <v>79</v>
      </c>
      <c r="E27" s="24"/>
      <c r="F27" s="24"/>
      <c r="G27" s="25"/>
      <c r="H27" s="26"/>
      <c r="I27" s="26"/>
      <c r="J27" s="16"/>
      <c r="K27" s="16"/>
      <c r="L27" s="16"/>
      <c r="M27" s="16"/>
      <c r="N27" s="17"/>
      <c r="O27" s="16"/>
      <c r="P27" s="16"/>
      <c r="Q27" s="16"/>
      <c r="R27" s="104" t="s">
        <v>80</v>
      </c>
      <c r="S27" s="136"/>
      <c r="T27" s="134"/>
      <c r="U27" s="117"/>
    </row>
    <row r="28" spans="1:21" x14ac:dyDescent="0.3">
      <c r="A28" s="20"/>
      <c r="B28" s="20"/>
      <c r="C28" s="20"/>
      <c r="D28" s="24" t="s">
        <v>81</v>
      </c>
      <c r="E28" s="24"/>
      <c r="F28" s="24"/>
      <c r="G28" s="25"/>
      <c r="H28" s="26"/>
      <c r="I28" s="26"/>
      <c r="J28" s="16"/>
      <c r="K28" s="16"/>
      <c r="L28" s="16" t="s">
        <v>82</v>
      </c>
      <c r="M28" s="16"/>
      <c r="N28" s="17"/>
      <c r="O28" s="16"/>
      <c r="P28" s="16"/>
      <c r="Q28" s="16"/>
      <c r="R28" s="111">
        <f>R24+R26</f>
        <v>1325688.1000000001</v>
      </c>
      <c r="S28" s="135"/>
      <c r="T28" s="111">
        <f>T24+T26</f>
        <v>0</v>
      </c>
      <c r="U28" s="117"/>
    </row>
  </sheetData>
  <mergeCells count="3">
    <mergeCell ref="B4:C4"/>
    <mergeCell ref="D4:E4"/>
    <mergeCell ref="D5:E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A4943-E1E1-4035-BAB0-3C9935B1997A}">
  <sheetPr>
    <tabColor rgb="FF00FF00"/>
  </sheetPr>
  <dimension ref="A1:U28"/>
  <sheetViews>
    <sheetView showZeros="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R26" sqref="R26"/>
    </sheetView>
  </sheetViews>
  <sheetFormatPr defaultRowHeight="14.4" x14ac:dyDescent="0.3"/>
  <cols>
    <col min="1" max="1" width="9.109375" customWidth="1"/>
    <col min="2" max="2" width="11.44140625" bestFit="1" customWidth="1"/>
    <col min="3" max="3" width="13.33203125" bestFit="1" customWidth="1"/>
    <col min="4" max="5" width="9.109375" customWidth="1"/>
    <col min="6" max="6" width="7.21875" bestFit="1" customWidth="1"/>
    <col min="7" max="7" width="6.5546875" customWidth="1"/>
    <col min="8" max="8" width="9.21875" bestFit="1" customWidth="1"/>
    <col min="9" max="9" width="7.88671875" bestFit="1" customWidth="1"/>
    <col min="10" max="11" width="5.33203125" bestFit="1" customWidth="1"/>
    <col min="12" max="12" width="11.21875" customWidth="1"/>
    <col min="13" max="13" width="11.6640625" bestFit="1" customWidth="1"/>
    <col min="14" max="14" width="6.44140625" bestFit="1" customWidth="1"/>
    <col min="15" max="15" width="7.88671875" customWidth="1"/>
    <col min="16" max="16" width="9.21875" bestFit="1" customWidth="1"/>
    <col min="17" max="17" width="8.77734375" bestFit="1" customWidth="1"/>
    <col min="18" max="19" width="10.5546875" bestFit="1" customWidth="1"/>
    <col min="20" max="20" width="10.109375" bestFit="1" customWidth="1"/>
    <col min="21" max="21" width="12.109375" bestFit="1" customWidth="1"/>
  </cols>
  <sheetData>
    <row r="1" spans="1:21" ht="15.6" x14ac:dyDescent="0.3">
      <c r="A1" s="1" t="s">
        <v>0</v>
      </c>
      <c r="B1" s="1"/>
      <c r="C1" s="1"/>
      <c r="D1" s="2"/>
      <c r="E1" s="2"/>
      <c r="F1" s="2"/>
      <c r="G1" s="1"/>
      <c r="H1" s="3"/>
      <c r="I1" s="3"/>
      <c r="J1" s="4"/>
      <c r="K1" s="4"/>
      <c r="L1" s="5"/>
      <c r="M1" s="5"/>
      <c r="N1" s="6"/>
      <c r="O1" s="7"/>
      <c r="P1" s="7"/>
      <c r="Q1" s="4"/>
      <c r="R1" s="4"/>
      <c r="S1" s="4"/>
      <c r="T1" s="8"/>
      <c r="U1" s="9"/>
    </row>
    <row r="2" spans="1:21" x14ac:dyDescent="0.3">
      <c r="A2" s="10" t="s">
        <v>1</v>
      </c>
      <c r="B2" s="11" t="s">
        <v>84</v>
      </c>
      <c r="C2" s="12" t="s">
        <v>3</v>
      </c>
      <c r="D2" s="13">
        <v>2022</v>
      </c>
      <c r="E2" s="14" t="s">
        <v>4</v>
      </c>
      <c r="F2" s="15">
        <v>24</v>
      </c>
      <c r="G2" s="16"/>
      <c r="H2" s="16"/>
      <c r="I2" s="16"/>
      <c r="J2" s="16"/>
      <c r="K2" s="16"/>
      <c r="L2" s="17"/>
      <c r="M2" s="16"/>
      <c r="N2" s="16"/>
      <c r="O2" s="18" t="s">
        <v>5</v>
      </c>
      <c r="P2" s="19">
        <v>31</v>
      </c>
      <c r="Q2" s="20"/>
      <c r="R2" s="20"/>
      <c r="S2" s="21"/>
      <c r="T2" s="22"/>
      <c r="U2" s="23"/>
    </row>
    <row r="3" spans="1:21" s="139" customFormat="1" ht="12" x14ac:dyDescent="0.25">
      <c r="A3" s="138" t="s">
        <v>85</v>
      </c>
      <c r="B3" s="20"/>
      <c r="C3" s="140">
        <f>Янв!C3</f>
        <v>5.93</v>
      </c>
      <c r="D3" s="24"/>
      <c r="E3" s="137" t="s">
        <v>86</v>
      </c>
      <c r="F3" s="24"/>
      <c r="G3" s="140">
        <f>Янв!G3</f>
        <v>4.1500000000000004</v>
      </c>
      <c r="H3" s="26"/>
      <c r="I3" s="26"/>
      <c r="J3" s="16"/>
      <c r="K3" s="16"/>
      <c r="L3" s="16"/>
      <c r="M3" s="16"/>
      <c r="N3" s="17"/>
      <c r="O3" s="16"/>
      <c r="P3" s="16"/>
      <c r="Q3" s="16"/>
      <c r="R3" s="16"/>
      <c r="S3" s="16"/>
      <c r="T3" s="22"/>
      <c r="U3" s="23"/>
    </row>
    <row r="4" spans="1:21" x14ac:dyDescent="0.3">
      <c r="A4" s="27" t="s">
        <v>6</v>
      </c>
      <c r="B4" s="199" t="s">
        <v>7</v>
      </c>
      <c r="C4" s="200"/>
      <c r="D4" s="205" t="s">
        <v>8</v>
      </c>
      <c r="E4" s="206"/>
      <c r="F4" s="28" t="s">
        <v>9</v>
      </c>
      <c r="G4" s="29" t="s">
        <v>10</v>
      </c>
      <c r="H4" s="30" t="s">
        <v>11</v>
      </c>
      <c r="I4" s="30" t="s">
        <v>12</v>
      </c>
      <c r="J4" s="31" t="s">
        <v>13</v>
      </c>
      <c r="K4" s="32" t="s">
        <v>14</v>
      </c>
      <c r="L4" s="33" t="s">
        <v>15</v>
      </c>
      <c r="M4" s="33" t="s">
        <v>16</v>
      </c>
      <c r="N4" s="34" t="s">
        <v>17</v>
      </c>
      <c r="O4" s="35" t="s">
        <v>18</v>
      </c>
      <c r="P4" s="35" t="s">
        <v>19</v>
      </c>
      <c r="Q4" s="35" t="s">
        <v>15</v>
      </c>
      <c r="R4" s="36" t="s">
        <v>20</v>
      </c>
      <c r="S4" s="37" t="s">
        <v>21</v>
      </c>
      <c r="T4" s="38" t="s">
        <v>22</v>
      </c>
      <c r="U4" s="23" t="s">
        <v>23</v>
      </c>
    </row>
    <row r="5" spans="1:21" x14ac:dyDescent="0.3">
      <c r="A5" s="39"/>
      <c r="B5" s="27" t="s">
        <v>24</v>
      </c>
      <c r="C5" s="27" t="s">
        <v>25</v>
      </c>
      <c r="D5" s="207" t="s">
        <v>26</v>
      </c>
      <c r="E5" s="208"/>
      <c r="F5" s="40"/>
      <c r="G5" s="41" t="s">
        <v>27</v>
      </c>
      <c r="H5" s="39" t="s">
        <v>28</v>
      </c>
      <c r="I5" s="39" t="s">
        <v>29</v>
      </c>
      <c r="J5" s="42" t="s">
        <v>30</v>
      </c>
      <c r="K5" s="43" t="s">
        <v>31</v>
      </c>
      <c r="L5" s="44" t="s">
        <v>32</v>
      </c>
      <c r="M5" s="44" t="s">
        <v>33</v>
      </c>
      <c r="N5" s="45" t="s">
        <v>34</v>
      </c>
      <c r="O5" s="46" t="s">
        <v>35</v>
      </c>
      <c r="P5" s="46" t="s">
        <v>36</v>
      </c>
      <c r="Q5" s="46" t="s">
        <v>37</v>
      </c>
      <c r="R5" s="47" t="s">
        <v>38</v>
      </c>
      <c r="S5" s="48" t="s">
        <v>39</v>
      </c>
      <c r="T5" s="38" t="s">
        <v>40</v>
      </c>
      <c r="U5" s="23" t="s">
        <v>41</v>
      </c>
    </row>
    <row r="6" spans="1:21" x14ac:dyDescent="0.3">
      <c r="A6" s="49"/>
      <c r="B6" s="49" t="s">
        <v>42</v>
      </c>
      <c r="C6" s="49" t="s">
        <v>42</v>
      </c>
      <c r="D6" s="50" t="s">
        <v>43</v>
      </c>
      <c r="E6" s="51" t="s">
        <v>44</v>
      </c>
      <c r="F6" s="52"/>
      <c r="G6" s="53" t="s">
        <v>45</v>
      </c>
      <c r="H6" s="54" t="s">
        <v>46</v>
      </c>
      <c r="I6" s="54" t="s">
        <v>47</v>
      </c>
      <c r="J6" s="55" t="s">
        <v>46</v>
      </c>
      <c r="K6" s="56"/>
      <c r="L6" s="57" t="s">
        <v>48</v>
      </c>
      <c r="M6" s="57" t="s">
        <v>48</v>
      </c>
      <c r="N6" s="58"/>
      <c r="O6" s="59" t="s">
        <v>46</v>
      </c>
      <c r="P6" s="59" t="s">
        <v>46</v>
      </c>
      <c r="Q6" s="59" t="s">
        <v>48</v>
      </c>
      <c r="R6" s="60" t="s">
        <v>49</v>
      </c>
      <c r="S6" s="60" t="s">
        <v>49</v>
      </c>
      <c r="T6" s="38" t="s">
        <v>34</v>
      </c>
      <c r="U6" s="23" t="s">
        <v>50</v>
      </c>
    </row>
    <row r="7" spans="1:21" x14ac:dyDescent="0.3">
      <c r="A7" s="61" t="s">
        <v>51</v>
      </c>
      <c r="B7" s="62" t="s">
        <v>52</v>
      </c>
      <c r="C7" s="63" t="s">
        <v>53</v>
      </c>
      <c r="D7" s="64">
        <f>Янв!E7</f>
        <v>72549.702000000005</v>
      </c>
      <c r="E7" s="65">
        <v>73761.630999999994</v>
      </c>
      <c r="F7" s="66">
        <f>IF(E7&gt;0,E7-D7,0)</f>
        <v>1211.9289999999892</v>
      </c>
      <c r="G7" s="67">
        <v>60</v>
      </c>
      <c r="H7" s="68">
        <f>F7*G7</f>
        <v>72715.73999999935</v>
      </c>
      <c r="I7" s="69"/>
      <c r="J7" s="70">
        <f>IF(G7&gt;0,$C$3,0)</f>
        <v>5.93</v>
      </c>
      <c r="K7" s="70">
        <f>IF(G7&gt;0,$G$3,0)</f>
        <v>4.1500000000000004</v>
      </c>
      <c r="L7" s="71">
        <f t="shared" ref="L7:L13" si="0">J7*(H7-I7)+I7*K7</f>
        <v>431204.3381999961</v>
      </c>
      <c r="M7" s="71">
        <f>L7+L8</f>
        <v>431204.3381999961</v>
      </c>
      <c r="N7" s="72">
        <v>8.4239417043940584E-2</v>
      </c>
      <c r="O7" s="73">
        <f>H7*N7</f>
        <v>6125.5315475186972</v>
      </c>
      <c r="P7" s="68">
        <f>IF($O$19&gt;0,O7*$H$19/$O$19,0)</f>
        <v>799.95285524051201</v>
      </c>
      <c r="Q7" s="16">
        <f>J7*P7</f>
        <v>4743.7204315762356</v>
      </c>
      <c r="R7" s="74">
        <f>IF(P7&gt;0,L7+Q7,L7)</f>
        <v>435948.05863157235</v>
      </c>
      <c r="S7" s="75">
        <f t="shared" ref="S7" si="1">R7+R8</f>
        <v>435948.05863157235</v>
      </c>
      <c r="T7" s="22">
        <f>L7+Q7</f>
        <v>435948.05863157235</v>
      </c>
      <c r="U7" s="23">
        <f t="shared" ref="U7:U14" si="2">IF($P$2&gt;0,H7/$P$2,0)</f>
        <v>2345.6690322580434</v>
      </c>
    </row>
    <row r="8" spans="1:21" x14ac:dyDescent="0.3">
      <c r="A8" s="76"/>
      <c r="B8" s="77"/>
      <c r="C8" s="78"/>
      <c r="D8" s="79">
        <f>Янв!E8</f>
        <v>0</v>
      </c>
      <c r="E8" s="80"/>
      <c r="F8" s="81"/>
      <c r="G8" s="82"/>
      <c r="H8" s="83"/>
      <c r="I8" s="84"/>
      <c r="J8" s="85">
        <f t="shared" ref="J8:J16" si="3">IF(G8&gt;0,$C$3,0)</f>
        <v>0</v>
      </c>
      <c r="K8" s="135">
        <f t="shared" ref="K8:K16" si="4">IF(G8&gt;0,$G$3,0)</f>
        <v>0</v>
      </c>
      <c r="L8" s="86">
        <f t="shared" si="0"/>
        <v>0</v>
      </c>
      <c r="M8" s="86"/>
      <c r="N8" s="87"/>
      <c r="O8" s="83"/>
      <c r="P8" s="83"/>
      <c r="Q8" s="88"/>
      <c r="R8" s="89"/>
      <c r="S8" s="90"/>
      <c r="T8" s="22"/>
      <c r="U8" s="23">
        <f t="shared" si="2"/>
        <v>0</v>
      </c>
    </row>
    <row r="9" spans="1:21" x14ac:dyDescent="0.3">
      <c r="A9" s="61" t="s">
        <v>54</v>
      </c>
      <c r="B9" s="62" t="s">
        <v>55</v>
      </c>
      <c r="C9" s="63" t="s">
        <v>56</v>
      </c>
      <c r="D9" s="64">
        <f>Янв!E9</f>
        <v>14244.5</v>
      </c>
      <c r="E9" s="65">
        <v>14913.2</v>
      </c>
      <c r="F9" s="66">
        <f t="shared" ref="F9:F15" si="5">IF(E9&gt;0,E9-D9,0)</f>
        <v>668.70000000000073</v>
      </c>
      <c r="G9" s="67">
        <v>50</v>
      </c>
      <c r="H9" s="68">
        <f>F9*G9+F10*G10</f>
        <v>33435.000000000036</v>
      </c>
      <c r="I9" s="69"/>
      <c r="J9" s="70">
        <f t="shared" si="3"/>
        <v>5.93</v>
      </c>
      <c r="K9" s="70">
        <f t="shared" si="4"/>
        <v>4.1500000000000004</v>
      </c>
      <c r="L9" s="71">
        <f t="shared" si="0"/>
        <v>198269.55000000019</v>
      </c>
      <c r="M9" s="71">
        <f t="shared" ref="M9" si="6">L9+L10</f>
        <v>198269.55000000019</v>
      </c>
      <c r="N9" s="72">
        <v>8.4239417043940584E-2</v>
      </c>
      <c r="O9" s="73">
        <f>H9*N9</f>
        <v>2816.5449088641567</v>
      </c>
      <c r="P9" s="68">
        <f t="shared" ref="P9" si="7">IF($O$19&gt;0,O9*$H$19/$O$19,0)</f>
        <v>367.82165339948125</v>
      </c>
      <c r="Q9" s="16">
        <f>J9*P9</f>
        <v>2181.1824046589236</v>
      </c>
      <c r="R9" s="74">
        <f t="shared" ref="R9" si="8">IF(P9&gt;0,L9+Q9,L9)</f>
        <v>200450.73240465912</v>
      </c>
      <c r="S9" s="91">
        <f t="shared" ref="S9" si="9">R9+R10</f>
        <v>200450.73240465912</v>
      </c>
      <c r="T9" s="22">
        <f t="shared" ref="T9" si="10">L9+Q9</f>
        <v>200450.73240465912</v>
      </c>
      <c r="U9" s="23">
        <f t="shared" si="2"/>
        <v>1078.5483870967753</v>
      </c>
    </row>
    <row r="10" spans="1:21" x14ac:dyDescent="0.3">
      <c r="A10" s="92" t="s">
        <v>57</v>
      </c>
      <c r="B10" s="77"/>
      <c r="C10" s="78"/>
      <c r="D10" s="79">
        <f>Янв!E10</f>
        <v>0</v>
      </c>
      <c r="E10" s="80"/>
      <c r="F10" s="93"/>
      <c r="G10" s="82"/>
      <c r="H10" s="83"/>
      <c r="I10" s="84"/>
      <c r="J10" s="85">
        <f t="shared" si="3"/>
        <v>0</v>
      </c>
      <c r="K10" s="135">
        <f t="shared" si="4"/>
        <v>0</v>
      </c>
      <c r="L10" s="86">
        <f t="shared" si="0"/>
        <v>0</v>
      </c>
      <c r="M10" s="86"/>
      <c r="N10" s="87"/>
      <c r="O10" s="83"/>
      <c r="P10" s="83"/>
      <c r="Q10" s="88"/>
      <c r="R10" s="89"/>
      <c r="S10" s="90"/>
      <c r="T10" s="22"/>
      <c r="U10" s="23">
        <f t="shared" si="2"/>
        <v>0</v>
      </c>
    </row>
    <row r="11" spans="1:21" x14ac:dyDescent="0.3">
      <c r="A11" s="94" t="s">
        <v>58</v>
      </c>
      <c r="B11" s="62" t="s">
        <v>55</v>
      </c>
      <c r="C11" s="63" t="s">
        <v>59</v>
      </c>
      <c r="D11" s="64">
        <f>Янв!E11</f>
        <v>82481.100000000006</v>
      </c>
      <c r="E11" s="95">
        <v>83821.600000000006</v>
      </c>
      <c r="F11" s="66">
        <f t="shared" si="5"/>
        <v>1340.5</v>
      </c>
      <c r="G11" s="67">
        <v>60</v>
      </c>
      <c r="H11" s="68">
        <f t="shared" ref="H11:H15" si="11">F11*G11</f>
        <v>80430</v>
      </c>
      <c r="I11" s="69"/>
      <c r="J11" s="70">
        <f t="shared" si="3"/>
        <v>5.93</v>
      </c>
      <c r="K11" s="70">
        <f t="shared" si="4"/>
        <v>4.1500000000000004</v>
      </c>
      <c r="L11" s="71">
        <f t="shared" si="0"/>
        <v>476949.89999999997</v>
      </c>
      <c r="M11" s="71">
        <f t="shared" ref="M11" si="12">L11+L12</f>
        <v>476949.89999999997</v>
      </c>
      <c r="N11" s="72">
        <v>9.3867222073683532E-2</v>
      </c>
      <c r="O11" s="73">
        <f>H11*N11</f>
        <v>7549.7406713863666</v>
      </c>
      <c r="P11" s="68">
        <f t="shared" ref="P11:P14" si="13">IF($O$19&gt;0,O11*$H$19/$O$19,0)</f>
        <v>985.94490283008543</v>
      </c>
      <c r="Q11" s="16">
        <f>J11*P11</f>
        <v>5846.6532737824064</v>
      </c>
      <c r="R11" s="74">
        <f t="shared" ref="R11:R14" si="14">IF(P11&gt;0,L11+Q11,L11)</f>
        <v>482796.55327378237</v>
      </c>
      <c r="S11" s="91">
        <f t="shared" ref="S11" si="15">R11+R12</f>
        <v>482796.55327378237</v>
      </c>
      <c r="T11" s="22">
        <f t="shared" ref="T11:T14" si="16">L11+Q11</f>
        <v>482796.55327378237</v>
      </c>
      <c r="U11" s="23">
        <f t="shared" si="2"/>
        <v>2594.516129032258</v>
      </c>
    </row>
    <row r="12" spans="1:21" x14ac:dyDescent="0.3">
      <c r="A12" s="76"/>
      <c r="B12" s="77" t="s">
        <v>55</v>
      </c>
      <c r="C12" s="78" t="s">
        <v>60</v>
      </c>
      <c r="D12" s="79">
        <f>Янв!E12</f>
        <v>3</v>
      </c>
      <c r="E12" s="80">
        <v>3</v>
      </c>
      <c r="F12" s="81">
        <f t="shared" si="5"/>
        <v>0</v>
      </c>
      <c r="G12" s="82">
        <f>400/5</f>
        <v>80</v>
      </c>
      <c r="H12" s="83">
        <f t="shared" si="11"/>
        <v>0</v>
      </c>
      <c r="I12" s="84"/>
      <c r="J12" s="85">
        <f t="shared" si="3"/>
        <v>5.93</v>
      </c>
      <c r="K12" s="135">
        <f t="shared" si="4"/>
        <v>4.1500000000000004</v>
      </c>
      <c r="L12" s="86">
        <f t="shared" si="0"/>
        <v>0</v>
      </c>
      <c r="M12" s="86"/>
      <c r="N12" s="87">
        <v>9.3867222073683532E-2</v>
      </c>
      <c r="O12" s="83">
        <f>H12*N12</f>
        <v>0</v>
      </c>
      <c r="P12" s="83">
        <f t="shared" si="13"/>
        <v>0</v>
      </c>
      <c r="Q12" s="88">
        <f>J12*P12</f>
        <v>0</v>
      </c>
      <c r="R12" s="89">
        <f t="shared" si="14"/>
        <v>0</v>
      </c>
      <c r="S12" s="90"/>
      <c r="T12" s="22">
        <f t="shared" si="16"/>
        <v>0</v>
      </c>
      <c r="U12" s="23">
        <f t="shared" si="2"/>
        <v>0</v>
      </c>
    </row>
    <row r="13" spans="1:21" x14ac:dyDescent="0.3">
      <c r="A13" s="94" t="s">
        <v>61</v>
      </c>
      <c r="B13" s="62" t="s">
        <v>55</v>
      </c>
      <c r="C13" s="63" t="s">
        <v>62</v>
      </c>
      <c r="D13" s="64">
        <f>Янв!E13</f>
        <v>7770.7</v>
      </c>
      <c r="E13" s="95">
        <v>7770.7</v>
      </c>
      <c r="F13" s="66">
        <f t="shared" si="5"/>
        <v>0</v>
      </c>
      <c r="G13" s="67">
        <v>40</v>
      </c>
      <c r="H13" s="68">
        <f t="shared" si="11"/>
        <v>0</v>
      </c>
      <c r="I13" s="96"/>
      <c r="J13" s="70">
        <f t="shared" si="3"/>
        <v>5.93</v>
      </c>
      <c r="K13" s="70">
        <f t="shared" si="4"/>
        <v>4.1500000000000004</v>
      </c>
      <c r="L13" s="71">
        <f t="shared" si="0"/>
        <v>0</v>
      </c>
      <c r="M13" s="71">
        <f t="shared" ref="M13" si="17">L13+L14</f>
        <v>444297.38699999958</v>
      </c>
      <c r="N13" s="72">
        <v>9.3867222073683532E-2</v>
      </c>
      <c r="O13" s="73">
        <f>H13*N13</f>
        <v>0</v>
      </c>
      <c r="P13" s="68">
        <f t="shared" si="13"/>
        <v>0</v>
      </c>
      <c r="Q13" s="16">
        <f>J13*P13</f>
        <v>0</v>
      </c>
      <c r="R13" s="74">
        <f t="shared" si="14"/>
        <v>0</v>
      </c>
      <c r="S13" s="91">
        <f t="shared" ref="S13" si="18">R13+R14</f>
        <v>449791.77268998552</v>
      </c>
      <c r="T13" s="22">
        <f t="shared" si="16"/>
        <v>0</v>
      </c>
      <c r="U13" s="23">
        <f t="shared" si="2"/>
        <v>0</v>
      </c>
    </row>
    <row r="14" spans="1:21" x14ac:dyDescent="0.3">
      <c r="A14" s="76"/>
      <c r="B14" s="77" t="s">
        <v>55</v>
      </c>
      <c r="C14" s="78" t="s">
        <v>63</v>
      </c>
      <c r="D14" s="79">
        <f>Янв!E14</f>
        <v>4853.6000000000004</v>
      </c>
      <c r="E14" s="80">
        <v>5798.4</v>
      </c>
      <c r="F14" s="81">
        <f t="shared" si="5"/>
        <v>944.79999999999927</v>
      </c>
      <c r="G14" s="82">
        <f>400/5</f>
        <v>80</v>
      </c>
      <c r="H14" s="83">
        <f t="shared" si="11"/>
        <v>75583.999999999942</v>
      </c>
      <c r="I14" s="84">
        <v>2199.8500000000004</v>
      </c>
      <c r="J14" s="85">
        <f t="shared" si="3"/>
        <v>5.93</v>
      </c>
      <c r="K14" s="135">
        <f t="shared" si="4"/>
        <v>4.1500000000000004</v>
      </c>
      <c r="L14" s="86">
        <f>J14*(H14-I14)+I14*K14</f>
        <v>444297.38699999958</v>
      </c>
      <c r="M14" s="86"/>
      <c r="N14" s="87">
        <v>9.3867222073683532E-2</v>
      </c>
      <c r="O14" s="83">
        <f>H14*N14</f>
        <v>7094.8601132172907</v>
      </c>
      <c r="P14" s="83">
        <f t="shared" si="13"/>
        <v>926.54058853051265</v>
      </c>
      <c r="Q14" s="88">
        <f>J14*P14</f>
        <v>5494.3856899859402</v>
      </c>
      <c r="R14" s="89">
        <f t="shared" si="14"/>
        <v>449791.77268998552</v>
      </c>
      <c r="S14" s="98"/>
      <c r="T14" s="22">
        <f t="shared" si="16"/>
        <v>449791.77268998552</v>
      </c>
      <c r="U14" s="23">
        <f t="shared" si="2"/>
        <v>2438.1935483870948</v>
      </c>
    </row>
    <row r="15" spans="1:21" x14ac:dyDescent="0.3">
      <c r="A15" s="94" t="s">
        <v>64</v>
      </c>
      <c r="B15" s="62" t="s">
        <v>52</v>
      </c>
      <c r="C15" s="63" t="s">
        <v>65</v>
      </c>
      <c r="D15" s="99">
        <f>Янв!E15</f>
        <v>2958.4870000000001</v>
      </c>
      <c r="E15" s="100">
        <v>3135.317</v>
      </c>
      <c r="F15" s="101">
        <f t="shared" si="5"/>
        <v>176.82999999999993</v>
      </c>
      <c r="G15" s="102">
        <v>1500</v>
      </c>
      <c r="H15" s="68">
        <f t="shared" si="11"/>
        <v>265244.99999999988</v>
      </c>
      <c r="I15" s="69">
        <f>SUM(I7:I14)</f>
        <v>2199.8500000000004</v>
      </c>
      <c r="J15" s="70">
        <f t="shared" si="3"/>
        <v>5.93</v>
      </c>
      <c r="K15" s="70">
        <f t="shared" si="4"/>
        <v>4.1500000000000004</v>
      </c>
      <c r="L15" s="103">
        <f t="shared" ref="L15:L16" si="19">J15*(H15-I15)+I15*K15</f>
        <v>1568987.1169999994</v>
      </c>
      <c r="M15" s="103"/>
      <c r="N15" s="72"/>
      <c r="O15" s="73"/>
      <c r="P15" s="68"/>
      <c r="Q15" s="16"/>
      <c r="R15" s="103"/>
      <c r="S15" s="104"/>
      <c r="T15" s="22"/>
      <c r="U15" s="23"/>
    </row>
    <row r="16" spans="1:21" x14ac:dyDescent="0.3">
      <c r="A16" s="76" t="s">
        <v>66</v>
      </c>
      <c r="B16" s="77"/>
      <c r="C16" s="78"/>
      <c r="D16" s="105">
        <f>Янв!E16</f>
        <v>0</v>
      </c>
      <c r="E16" s="106"/>
      <c r="F16" s="107"/>
      <c r="G16" s="108"/>
      <c r="H16" s="83"/>
      <c r="I16" s="84"/>
      <c r="J16" s="85">
        <f t="shared" si="3"/>
        <v>0</v>
      </c>
      <c r="K16" s="135">
        <f t="shared" si="4"/>
        <v>0</v>
      </c>
      <c r="L16" s="109">
        <f t="shared" si="19"/>
        <v>0</v>
      </c>
      <c r="M16" s="109"/>
      <c r="N16" s="87"/>
      <c r="O16" s="83"/>
      <c r="P16" s="83"/>
      <c r="Q16" s="88"/>
      <c r="R16" s="110"/>
      <c r="S16" s="111"/>
      <c r="T16" s="22"/>
      <c r="U16" s="23"/>
    </row>
    <row r="17" spans="1:21" x14ac:dyDescent="0.3">
      <c r="A17" s="20"/>
      <c r="B17" s="20"/>
      <c r="C17" s="20"/>
      <c r="D17" s="24"/>
      <c r="E17" s="24"/>
      <c r="F17" s="24"/>
      <c r="G17" s="112"/>
      <c r="H17" s="26"/>
      <c r="I17" s="26"/>
      <c r="J17" s="16"/>
      <c r="K17" s="16"/>
      <c r="L17" s="113"/>
      <c r="M17" s="113"/>
      <c r="N17" s="17"/>
      <c r="O17" s="16"/>
      <c r="P17" s="16"/>
      <c r="Q17" s="16"/>
      <c r="R17" s="16"/>
      <c r="S17" s="16"/>
      <c r="T17" s="22"/>
      <c r="U17" s="23"/>
    </row>
    <row r="18" spans="1:21" x14ac:dyDescent="0.3">
      <c r="A18" s="114"/>
      <c r="B18" s="114"/>
      <c r="C18" s="114"/>
      <c r="D18" s="115"/>
      <c r="E18" s="24"/>
      <c r="F18" s="24"/>
      <c r="G18" s="116" t="s">
        <v>67</v>
      </c>
      <c r="H18" s="26">
        <f>SUM(H7:H14)</f>
        <v>262164.73999999929</v>
      </c>
      <c r="I18" s="26"/>
      <c r="J18" s="20" t="s">
        <v>46</v>
      </c>
      <c r="K18" s="20"/>
      <c r="L18" s="16"/>
      <c r="M18" s="16"/>
      <c r="N18" s="17"/>
      <c r="O18" s="16"/>
      <c r="P18" s="16"/>
      <c r="Q18" s="16"/>
      <c r="R18" s="16"/>
      <c r="S18" s="16"/>
      <c r="T18" s="22"/>
      <c r="U18" s="23"/>
    </row>
    <row r="19" spans="1:21" x14ac:dyDescent="0.3">
      <c r="A19" s="117"/>
      <c r="B19" s="117"/>
      <c r="C19" s="117"/>
      <c r="D19" s="118"/>
      <c r="E19" s="24"/>
      <c r="F19" s="24"/>
      <c r="G19" s="116" t="s">
        <v>68</v>
      </c>
      <c r="H19" s="26">
        <f>IF(H15&gt;0,H15-H18,0)</f>
        <v>3080.2600000005914</v>
      </c>
      <c r="I19" s="26"/>
      <c r="J19" s="20" t="s">
        <v>46</v>
      </c>
      <c r="K19" s="20"/>
      <c r="L19" s="16"/>
      <c r="M19" s="16"/>
      <c r="N19" s="17"/>
      <c r="O19" s="26">
        <f>SUM(O7:O14)</f>
        <v>23586.677240986512</v>
      </c>
      <c r="P19" s="16">
        <f>SUM(P7:P14)</f>
        <v>3080.2600000005914</v>
      </c>
      <c r="Q19" s="16">
        <f>SUM(Q7:Q16)</f>
        <v>18265.941800003508</v>
      </c>
      <c r="R19" s="119">
        <f>SUM(R7:R14)</f>
        <v>1568987.1169999994</v>
      </c>
      <c r="S19" s="119"/>
      <c r="T19" s="120">
        <f>SUM(T7:T14)</f>
        <v>1568987.1169999994</v>
      </c>
      <c r="U19" s="20"/>
    </row>
    <row r="20" spans="1:21" x14ac:dyDescent="0.3">
      <c r="A20" s="117"/>
      <c r="B20" s="117"/>
      <c r="C20" s="117"/>
      <c r="D20" s="118"/>
      <c r="E20" s="24"/>
      <c r="F20" s="24"/>
      <c r="G20" s="116" t="s">
        <v>69</v>
      </c>
      <c r="H20" s="17">
        <f>IF(H15&gt;0,H19/H15,0)</f>
        <v>1.1612886199553593E-2</v>
      </c>
      <c r="I20" s="17"/>
      <c r="J20" s="16"/>
      <c r="K20" s="16"/>
      <c r="L20" s="16"/>
      <c r="M20" s="16"/>
      <c r="N20" s="17"/>
      <c r="O20" s="16"/>
      <c r="P20" s="16"/>
      <c r="Q20" s="16"/>
      <c r="R20" s="16"/>
      <c r="S20" s="16"/>
      <c r="T20" s="22"/>
      <c r="U20" s="20"/>
    </row>
    <row r="21" spans="1:21" x14ac:dyDescent="0.3">
      <c r="A21" s="117"/>
      <c r="B21" s="117"/>
      <c r="C21" s="117"/>
      <c r="D21" s="118"/>
      <c r="E21" s="24"/>
      <c r="F21" s="24"/>
      <c r="G21" s="25"/>
      <c r="H21" s="16"/>
      <c r="I21" s="16"/>
      <c r="J21" s="16"/>
      <c r="K21" s="16"/>
      <c r="L21" s="16"/>
      <c r="M21" s="16"/>
      <c r="N21" s="17"/>
      <c r="O21" s="16"/>
      <c r="P21" s="16"/>
      <c r="Q21" s="16"/>
      <c r="R21" s="16"/>
      <c r="S21" s="16"/>
      <c r="T21" s="22"/>
      <c r="U21" s="20"/>
    </row>
    <row r="22" spans="1:21" x14ac:dyDescent="0.3">
      <c r="A22" s="117"/>
      <c r="B22" s="117"/>
      <c r="C22" s="117"/>
      <c r="D22" s="118"/>
      <c r="E22" s="24"/>
      <c r="F22" s="24"/>
      <c r="G22" s="25"/>
      <c r="H22" s="16"/>
      <c r="I22" s="16"/>
      <c r="J22" s="16"/>
      <c r="K22" s="16"/>
      <c r="L22" s="16"/>
      <c r="M22" s="16"/>
      <c r="N22" s="17"/>
      <c r="O22" s="16"/>
      <c r="P22" s="16"/>
      <c r="Q22" s="16"/>
      <c r="R22" s="121" t="s">
        <v>70</v>
      </c>
      <c r="S22" s="122" t="s">
        <v>71</v>
      </c>
      <c r="T22" s="122" t="s">
        <v>72</v>
      </c>
      <c r="U22" s="20"/>
    </row>
    <row r="23" spans="1:21" x14ac:dyDescent="0.3">
      <c r="A23" s="123"/>
      <c r="B23" s="123"/>
      <c r="C23" s="123"/>
      <c r="D23" s="124"/>
      <c r="E23" s="124"/>
      <c r="F23" s="124"/>
      <c r="G23" s="125" t="s">
        <v>73</v>
      </c>
      <c r="H23" s="162">
        <f>H11+H12+H13+H14</f>
        <v>156013.99999999994</v>
      </c>
      <c r="I23" s="119"/>
      <c r="J23" s="119"/>
      <c r="K23" s="119"/>
      <c r="L23" s="119"/>
      <c r="M23" s="119"/>
      <c r="N23" s="123"/>
      <c r="O23" s="126" t="s">
        <v>74</v>
      </c>
      <c r="P23" s="163">
        <v>156014</v>
      </c>
      <c r="Q23" s="119"/>
      <c r="R23" s="75" t="s">
        <v>75</v>
      </c>
      <c r="S23" s="128"/>
      <c r="T23" s="129"/>
      <c r="U23" s="123"/>
    </row>
    <row r="24" spans="1:21" x14ac:dyDescent="0.3">
      <c r="A24" s="130"/>
      <c r="B24" s="130"/>
      <c r="C24" s="130"/>
      <c r="D24" s="124"/>
      <c r="E24" s="124"/>
      <c r="F24" s="124"/>
      <c r="G24" s="125" t="s">
        <v>76</v>
      </c>
      <c r="H24" s="119">
        <f>L11+L12+L13+L14</f>
        <v>921247.28699999955</v>
      </c>
      <c r="I24" s="119"/>
      <c r="J24" s="119"/>
      <c r="K24" s="119"/>
      <c r="L24" s="119"/>
      <c r="M24" s="119"/>
      <c r="N24" s="131"/>
      <c r="O24" s="126" t="s">
        <v>77</v>
      </c>
      <c r="P24" s="127">
        <v>921247.02</v>
      </c>
      <c r="Q24" s="119"/>
      <c r="R24" s="98">
        <f>M13</f>
        <v>444297.38699999958</v>
      </c>
      <c r="S24" s="132"/>
      <c r="T24" s="98">
        <f>IF(S24&gt;0,R24-S24,0)</f>
        <v>0</v>
      </c>
      <c r="U24" s="117"/>
    </row>
    <row r="25" spans="1:21" x14ac:dyDescent="0.3">
      <c r="A25" s="133"/>
      <c r="B25" s="133"/>
      <c r="C25" s="133"/>
      <c r="D25" s="24"/>
      <c r="E25" s="24"/>
      <c r="F25" s="24"/>
      <c r="G25" s="25"/>
      <c r="H25" s="16"/>
      <c r="I25" s="16"/>
      <c r="J25" s="16"/>
      <c r="K25" s="16"/>
      <c r="L25" s="16"/>
      <c r="M25" s="16"/>
      <c r="N25" s="17"/>
      <c r="O25" s="16"/>
      <c r="P25" s="16"/>
      <c r="Q25" s="16"/>
      <c r="R25" s="104" t="s">
        <v>78</v>
      </c>
      <c r="S25" s="128"/>
      <c r="T25" s="134"/>
      <c r="U25" s="117"/>
    </row>
    <row r="26" spans="1:21" x14ac:dyDescent="0.3">
      <c r="A26" s="20"/>
      <c r="B26" s="20"/>
      <c r="C26" s="20"/>
      <c r="D26" s="24"/>
      <c r="E26" s="24"/>
      <c r="F26" s="24"/>
      <c r="G26" s="25"/>
      <c r="H26" s="26"/>
      <c r="I26" s="26"/>
      <c r="J26" s="16"/>
      <c r="K26" s="16"/>
      <c r="L26" s="16"/>
      <c r="M26" s="16"/>
      <c r="N26" s="17"/>
      <c r="O26" s="16"/>
      <c r="P26" s="16"/>
      <c r="Q26" s="16"/>
      <c r="R26" s="111">
        <f>M11</f>
        <v>476949.89999999997</v>
      </c>
      <c r="S26" s="135"/>
      <c r="T26" s="111">
        <f>IF(S26&gt;0,R26-S26,0)</f>
        <v>0</v>
      </c>
      <c r="U26" s="117"/>
    </row>
    <row r="27" spans="1:21" x14ac:dyDescent="0.3">
      <c r="A27" s="20"/>
      <c r="B27" s="20"/>
      <c r="C27" s="20"/>
      <c r="D27" s="24" t="s">
        <v>79</v>
      </c>
      <c r="E27" s="24"/>
      <c r="F27" s="24"/>
      <c r="G27" s="25"/>
      <c r="H27" s="26"/>
      <c r="I27" s="26"/>
      <c r="J27" s="16"/>
      <c r="K27" s="16"/>
      <c r="L27" s="16"/>
      <c r="M27" s="16"/>
      <c r="N27" s="17"/>
      <c r="O27" s="16"/>
      <c r="P27" s="16"/>
      <c r="Q27" s="16"/>
      <c r="R27" s="104" t="s">
        <v>80</v>
      </c>
      <c r="S27" s="136"/>
      <c r="T27" s="134"/>
      <c r="U27" s="117"/>
    </row>
    <row r="28" spans="1:21" x14ac:dyDescent="0.3">
      <c r="A28" s="20"/>
      <c r="B28" s="20"/>
      <c r="C28" s="20"/>
      <c r="D28" s="24" t="s">
        <v>81</v>
      </c>
      <c r="E28" s="24"/>
      <c r="F28" s="24"/>
      <c r="G28" s="25"/>
      <c r="H28" s="26"/>
      <c r="I28" s="26"/>
      <c r="J28" s="16"/>
      <c r="K28" s="16"/>
      <c r="L28" s="16" t="s">
        <v>82</v>
      </c>
      <c r="M28" s="16"/>
      <c r="N28" s="17"/>
      <c r="O28" s="16"/>
      <c r="P28" s="16"/>
      <c r="Q28" s="16"/>
      <c r="R28" s="111">
        <f>R24+R26</f>
        <v>921247.28699999955</v>
      </c>
      <c r="S28" s="135"/>
      <c r="T28" s="111">
        <f>T24+T26</f>
        <v>0</v>
      </c>
      <c r="U28" s="117"/>
    </row>
  </sheetData>
  <mergeCells count="3">
    <mergeCell ref="B4:C4"/>
    <mergeCell ref="D4:E4"/>
    <mergeCell ref="D5:E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083BF-AAB1-47E2-8634-25B8CC351D48}">
  <sheetPr>
    <tabColor rgb="FF00FF00"/>
  </sheetPr>
  <dimension ref="A1:U28"/>
  <sheetViews>
    <sheetView showZeros="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R26" sqref="R26"/>
    </sheetView>
  </sheetViews>
  <sheetFormatPr defaultRowHeight="14.4" x14ac:dyDescent="0.3"/>
  <cols>
    <col min="1" max="1" width="9.109375" customWidth="1"/>
    <col min="2" max="2" width="11.44140625" bestFit="1" customWidth="1"/>
    <col min="3" max="3" width="13.33203125" bestFit="1" customWidth="1"/>
    <col min="4" max="5" width="9.109375" customWidth="1"/>
    <col min="6" max="6" width="7.21875" bestFit="1" customWidth="1"/>
    <col min="7" max="7" width="6.5546875" customWidth="1"/>
    <col min="8" max="8" width="9.21875" bestFit="1" customWidth="1"/>
    <col min="9" max="9" width="7.88671875" bestFit="1" customWidth="1"/>
    <col min="10" max="11" width="5.33203125" bestFit="1" customWidth="1"/>
    <col min="12" max="12" width="11.21875" customWidth="1"/>
    <col min="13" max="13" width="11.6640625" bestFit="1" customWidth="1"/>
    <col min="14" max="14" width="6.44140625" bestFit="1" customWidth="1"/>
    <col min="15" max="15" width="7.88671875" customWidth="1"/>
    <col min="16" max="16" width="9.21875" bestFit="1" customWidth="1"/>
    <col min="17" max="17" width="8.77734375" bestFit="1" customWidth="1"/>
    <col min="18" max="19" width="10.5546875" bestFit="1" customWidth="1"/>
    <col min="20" max="20" width="10.109375" bestFit="1" customWidth="1"/>
    <col min="21" max="21" width="12.109375" bestFit="1" customWidth="1"/>
  </cols>
  <sheetData>
    <row r="1" spans="1:21" ht="15.6" x14ac:dyDescent="0.3">
      <c r="A1" s="1" t="s">
        <v>0</v>
      </c>
      <c r="B1" s="1"/>
      <c r="C1" s="1"/>
      <c r="D1" s="2"/>
      <c r="E1" s="2"/>
      <c r="F1" s="2"/>
      <c r="G1" s="1"/>
      <c r="H1" s="3"/>
      <c r="I1" s="3"/>
      <c r="J1" s="4"/>
      <c r="K1" s="4"/>
      <c r="L1" s="5"/>
      <c r="M1" s="5"/>
      <c r="N1" s="6"/>
      <c r="O1" s="7"/>
      <c r="P1" s="7"/>
      <c r="Q1" s="4"/>
      <c r="R1" s="4"/>
      <c r="S1" s="4"/>
      <c r="T1" s="8"/>
      <c r="U1" s="9"/>
    </row>
    <row r="2" spans="1:21" x14ac:dyDescent="0.3">
      <c r="A2" s="10" t="s">
        <v>1</v>
      </c>
      <c r="B2" s="11" t="s">
        <v>87</v>
      </c>
      <c r="C2" s="12" t="s">
        <v>3</v>
      </c>
      <c r="D2" s="13">
        <v>2022</v>
      </c>
      <c r="E2" s="14" t="s">
        <v>4</v>
      </c>
      <c r="F2" s="15">
        <v>24</v>
      </c>
      <c r="G2" s="16"/>
      <c r="H2" s="16"/>
      <c r="I2" s="16"/>
      <c r="J2" s="16"/>
      <c r="K2" s="16"/>
      <c r="L2" s="17"/>
      <c r="M2" s="16"/>
      <c r="N2" s="16"/>
      <c r="O2" s="18" t="s">
        <v>5</v>
      </c>
      <c r="P2" s="19">
        <v>28</v>
      </c>
      <c r="Q2" s="20"/>
      <c r="R2" s="20"/>
      <c r="S2" s="21"/>
      <c r="T2" s="22"/>
      <c r="U2" s="23"/>
    </row>
    <row r="3" spans="1:21" s="139" customFormat="1" ht="12" x14ac:dyDescent="0.25">
      <c r="A3" s="138" t="s">
        <v>85</v>
      </c>
      <c r="B3" s="20"/>
      <c r="C3" s="140">
        <f>Янв!C3</f>
        <v>5.93</v>
      </c>
      <c r="D3" s="24"/>
      <c r="E3" s="137" t="s">
        <v>86</v>
      </c>
      <c r="F3" s="24"/>
      <c r="G3" s="140">
        <f>Янв!G3</f>
        <v>4.1500000000000004</v>
      </c>
      <c r="H3" s="26"/>
      <c r="I3" s="26"/>
      <c r="J3" s="16"/>
      <c r="K3" s="16"/>
      <c r="L3" s="16"/>
      <c r="M3" s="16"/>
      <c r="N3" s="17"/>
      <c r="O3" s="16"/>
      <c r="P3" s="16"/>
      <c r="Q3" s="16"/>
      <c r="R3" s="16"/>
      <c r="S3" s="16"/>
      <c r="T3" s="22"/>
      <c r="U3" s="23"/>
    </row>
    <row r="4" spans="1:21" x14ac:dyDescent="0.3">
      <c r="A4" s="27" t="s">
        <v>6</v>
      </c>
      <c r="B4" s="199" t="s">
        <v>7</v>
      </c>
      <c r="C4" s="200"/>
      <c r="D4" s="205" t="s">
        <v>8</v>
      </c>
      <c r="E4" s="206"/>
      <c r="F4" s="28" t="s">
        <v>9</v>
      </c>
      <c r="G4" s="29" t="s">
        <v>10</v>
      </c>
      <c r="H4" s="30" t="s">
        <v>11</v>
      </c>
      <c r="I4" s="30" t="s">
        <v>12</v>
      </c>
      <c r="J4" s="31" t="s">
        <v>13</v>
      </c>
      <c r="K4" s="32" t="s">
        <v>14</v>
      </c>
      <c r="L4" s="33" t="s">
        <v>15</v>
      </c>
      <c r="M4" s="33" t="s">
        <v>16</v>
      </c>
      <c r="N4" s="34" t="s">
        <v>17</v>
      </c>
      <c r="O4" s="35" t="s">
        <v>18</v>
      </c>
      <c r="P4" s="35" t="s">
        <v>19</v>
      </c>
      <c r="Q4" s="35" t="s">
        <v>15</v>
      </c>
      <c r="R4" s="36" t="s">
        <v>20</v>
      </c>
      <c r="S4" s="37" t="s">
        <v>21</v>
      </c>
      <c r="T4" s="38" t="s">
        <v>22</v>
      </c>
      <c r="U4" s="23" t="s">
        <v>23</v>
      </c>
    </row>
    <row r="5" spans="1:21" x14ac:dyDescent="0.3">
      <c r="A5" s="39"/>
      <c r="B5" s="27" t="s">
        <v>24</v>
      </c>
      <c r="C5" s="27" t="s">
        <v>25</v>
      </c>
      <c r="D5" s="207" t="s">
        <v>26</v>
      </c>
      <c r="E5" s="208"/>
      <c r="F5" s="40"/>
      <c r="G5" s="41" t="s">
        <v>27</v>
      </c>
      <c r="H5" s="39" t="s">
        <v>28</v>
      </c>
      <c r="I5" s="39" t="s">
        <v>29</v>
      </c>
      <c r="J5" s="42" t="s">
        <v>30</v>
      </c>
      <c r="K5" s="43" t="s">
        <v>31</v>
      </c>
      <c r="L5" s="44" t="s">
        <v>32</v>
      </c>
      <c r="M5" s="44" t="s">
        <v>33</v>
      </c>
      <c r="N5" s="45" t="s">
        <v>34</v>
      </c>
      <c r="O5" s="46" t="s">
        <v>35</v>
      </c>
      <c r="P5" s="46" t="s">
        <v>36</v>
      </c>
      <c r="Q5" s="46" t="s">
        <v>37</v>
      </c>
      <c r="R5" s="47" t="s">
        <v>38</v>
      </c>
      <c r="S5" s="48" t="s">
        <v>39</v>
      </c>
      <c r="T5" s="38" t="s">
        <v>40</v>
      </c>
      <c r="U5" s="23" t="s">
        <v>41</v>
      </c>
    </row>
    <row r="6" spans="1:21" x14ac:dyDescent="0.3">
      <c r="A6" s="49"/>
      <c r="B6" s="49" t="s">
        <v>42</v>
      </c>
      <c r="C6" s="49" t="s">
        <v>42</v>
      </c>
      <c r="D6" s="50" t="s">
        <v>43</v>
      </c>
      <c r="E6" s="51" t="s">
        <v>44</v>
      </c>
      <c r="F6" s="52"/>
      <c r="G6" s="53" t="s">
        <v>45</v>
      </c>
      <c r="H6" s="54" t="s">
        <v>46</v>
      </c>
      <c r="I6" s="54" t="s">
        <v>47</v>
      </c>
      <c r="J6" s="55" t="s">
        <v>46</v>
      </c>
      <c r="K6" s="56"/>
      <c r="L6" s="57" t="s">
        <v>48</v>
      </c>
      <c r="M6" s="57" t="s">
        <v>48</v>
      </c>
      <c r="N6" s="58"/>
      <c r="O6" s="59" t="s">
        <v>46</v>
      </c>
      <c r="P6" s="59" t="s">
        <v>46</v>
      </c>
      <c r="Q6" s="59" t="s">
        <v>48</v>
      </c>
      <c r="R6" s="60" t="s">
        <v>49</v>
      </c>
      <c r="S6" s="60" t="s">
        <v>49</v>
      </c>
      <c r="T6" s="38" t="s">
        <v>34</v>
      </c>
      <c r="U6" s="23" t="s">
        <v>50</v>
      </c>
    </row>
    <row r="7" spans="1:21" x14ac:dyDescent="0.3">
      <c r="A7" s="61" t="s">
        <v>51</v>
      </c>
      <c r="B7" s="62" t="s">
        <v>52</v>
      </c>
      <c r="C7" s="63" t="s">
        <v>53</v>
      </c>
      <c r="D7" s="64">
        <f>Фев!E7</f>
        <v>73761.630999999994</v>
      </c>
      <c r="E7" s="65">
        <v>74863.078999999998</v>
      </c>
      <c r="F7" s="66">
        <f>IF(E7&gt;0,E7-D7,0)</f>
        <v>1101.448000000004</v>
      </c>
      <c r="G7" s="67">
        <v>60</v>
      </c>
      <c r="H7" s="68">
        <f>F7*G7</f>
        <v>66086.880000000237</v>
      </c>
      <c r="I7" s="69"/>
      <c r="J7" s="70">
        <f>IF(G7&gt;0,$C$3,0)</f>
        <v>5.93</v>
      </c>
      <c r="K7" s="70">
        <f>IF(G7&gt;0,$G$3,0)</f>
        <v>4.1500000000000004</v>
      </c>
      <c r="L7" s="71">
        <f t="shared" ref="L7:L13" si="0">J7*(H7-I7)+I7*K7</f>
        <v>391895.19840000139</v>
      </c>
      <c r="M7" s="71">
        <f>L7+L8</f>
        <v>391895.19840000139</v>
      </c>
      <c r="N7" s="72">
        <v>8.4239417043940584E-2</v>
      </c>
      <c r="O7" s="73">
        <f>H7*N7</f>
        <v>5567.1202454528757</v>
      </c>
      <c r="P7" s="68">
        <f>IF($O$19&gt;0,O7*$H$19/$O$19,0)</f>
        <v>351.8744068778156</v>
      </c>
      <c r="Q7" s="16">
        <f>J7*P7</f>
        <v>2086.6152327854466</v>
      </c>
      <c r="R7" s="74">
        <f>IF(P7&gt;0,L7+Q7,L7)</f>
        <v>393981.81363278686</v>
      </c>
      <c r="S7" s="75">
        <f t="shared" ref="S7" si="1">R7+R8</f>
        <v>393981.81363278686</v>
      </c>
      <c r="T7" s="22">
        <f>L7+Q7</f>
        <v>393981.81363278686</v>
      </c>
      <c r="U7" s="23">
        <f t="shared" ref="U7:U14" si="2">IF($P$2&gt;0,H7/$P$2,0)</f>
        <v>2360.2457142857229</v>
      </c>
    </row>
    <row r="8" spans="1:21" x14ac:dyDescent="0.3">
      <c r="A8" s="76"/>
      <c r="B8" s="77"/>
      <c r="C8" s="78"/>
      <c r="D8" s="79">
        <f>Фев!E8</f>
        <v>0</v>
      </c>
      <c r="E8" s="80"/>
      <c r="F8" s="81"/>
      <c r="G8" s="82"/>
      <c r="H8" s="83"/>
      <c r="I8" s="84"/>
      <c r="J8" s="85">
        <f t="shared" ref="J8:J16" si="3">IF(G8&gt;0,$C$3,0)</f>
        <v>0</v>
      </c>
      <c r="K8" s="135">
        <f t="shared" ref="K8:K16" si="4">IF(G8&gt;0,$G$3,0)</f>
        <v>0</v>
      </c>
      <c r="L8" s="86">
        <f t="shared" si="0"/>
        <v>0</v>
      </c>
      <c r="M8" s="86"/>
      <c r="N8" s="87"/>
      <c r="O8" s="83"/>
      <c r="P8" s="83"/>
      <c r="Q8" s="88"/>
      <c r="R8" s="89"/>
      <c r="S8" s="90"/>
      <c r="T8" s="22"/>
      <c r="U8" s="23">
        <f t="shared" si="2"/>
        <v>0</v>
      </c>
    </row>
    <row r="9" spans="1:21" x14ac:dyDescent="0.3">
      <c r="A9" s="61" t="s">
        <v>54</v>
      </c>
      <c r="B9" s="62" t="s">
        <v>55</v>
      </c>
      <c r="C9" s="63" t="s">
        <v>56</v>
      </c>
      <c r="D9" s="64">
        <f>Фев!E9</f>
        <v>14913.2</v>
      </c>
      <c r="E9" s="65">
        <v>15518.3</v>
      </c>
      <c r="F9" s="66">
        <f t="shared" ref="F9:F15" si="5">IF(E9&gt;0,E9-D9,0)</f>
        <v>605.09999999999854</v>
      </c>
      <c r="G9" s="67">
        <v>50</v>
      </c>
      <c r="H9" s="68">
        <f>F9*G9+F10*G10</f>
        <v>30254.999999999927</v>
      </c>
      <c r="I9" s="69"/>
      <c r="J9" s="70">
        <f t="shared" si="3"/>
        <v>5.93</v>
      </c>
      <c r="K9" s="70">
        <f t="shared" si="4"/>
        <v>4.1500000000000004</v>
      </c>
      <c r="L9" s="71">
        <f t="shared" si="0"/>
        <v>179412.14999999956</v>
      </c>
      <c r="M9" s="71">
        <f t="shared" ref="M9" si="6">L9+L10</f>
        <v>179412.14999999956</v>
      </c>
      <c r="N9" s="72">
        <v>8.4239417043940584E-2</v>
      </c>
      <c r="O9" s="73">
        <f>H9*N9</f>
        <v>2548.6635626644161</v>
      </c>
      <c r="P9" s="68">
        <f t="shared" ref="P9" si="7">IF($O$19&gt;0,O9*$H$19/$O$19,0)</f>
        <v>161.09037346124143</v>
      </c>
      <c r="Q9" s="16">
        <f>J9*P9</f>
        <v>955.2659146251616</v>
      </c>
      <c r="R9" s="74">
        <f t="shared" ref="R9" si="8">IF(P9&gt;0,L9+Q9,L9)</f>
        <v>180367.41591462473</v>
      </c>
      <c r="S9" s="91">
        <f t="shared" ref="S9" si="9">R9+R10</f>
        <v>180367.41591462473</v>
      </c>
      <c r="T9" s="22">
        <f t="shared" ref="T9" si="10">L9+Q9</f>
        <v>180367.41591462473</v>
      </c>
      <c r="U9" s="23">
        <f t="shared" si="2"/>
        <v>1080.5357142857117</v>
      </c>
    </row>
    <row r="10" spans="1:21" x14ac:dyDescent="0.3">
      <c r="A10" s="92" t="s">
        <v>57</v>
      </c>
      <c r="B10" s="77"/>
      <c r="C10" s="78"/>
      <c r="D10" s="79">
        <f>Фев!E10</f>
        <v>0</v>
      </c>
      <c r="E10" s="80"/>
      <c r="F10" s="93"/>
      <c r="G10" s="82"/>
      <c r="H10" s="83"/>
      <c r="I10" s="84"/>
      <c r="J10" s="85">
        <f t="shared" si="3"/>
        <v>0</v>
      </c>
      <c r="K10" s="135">
        <f t="shared" si="4"/>
        <v>0</v>
      </c>
      <c r="L10" s="86">
        <f t="shared" si="0"/>
        <v>0</v>
      </c>
      <c r="M10" s="86"/>
      <c r="N10" s="87"/>
      <c r="O10" s="83"/>
      <c r="P10" s="83"/>
      <c r="Q10" s="88"/>
      <c r="R10" s="89"/>
      <c r="S10" s="90"/>
      <c r="T10" s="22"/>
      <c r="U10" s="23">
        <f t="shared" si="2"/>
        <v>0</v>
      </c>
    </row>
    <row r="11" spans="1:21" x14ac:dyDescent="0.3">
      <c r="A11" s="94" t="s">
        <v>58</v>
      </c>
      <c r="B11" s="62" t="s">
        <v>55</v>
      </c>
      <c r="C11" s="63" t="s">
        <v>59</v>
      </c>
      <c r="D11" s="64">
        <f>Фев!E11</f>
        <v>83821.600000000006</v>
      </c>
      <c r="E11" s="95">
        <v>85017.4</v>
      </c>
      <c r="F11" s="66">
        <f t="shared" si="5"/>
        <v>1195.7999999999884</v>
      </c>
      <c r="G11" s="67">
        <v>60</v>
      </c>
      <c r="H11" s="68">
        <f t="shared" ref="H11:H15" si="11">F11*G11</f>
        <v>71747.999999999302</v>
      </c>
      <c r="I11" s="69"/>
      <c r="J11" s="70">
        <f t="shared" si="3"/>
        <v>5.93</v>
      </c>
      <c r="K11" s="70">
        <f t="shared" si="4"/>
        <v>4.1500000000000004</v>
      </c>
      <c r="L11" s="71">
        <f t="shared" si="0"/>
        <v>425465.63999999582</v>
      </c>
      <c r="M11" s="71">
        <f t="shared" ref="M11" si="12">L11+L12</f>
        <v>425465.63999999582</v>
      </c>
      <c r="N11" s="72">
        <v>9.3867222073683532E-2</v>
      </c>
      <c r="O11" s="73">
        <f>H11*N11</f>
        <v>6734.7854493425803</v>
      </c>
      <c r="P11" s="68">
        <f t="shared" ref="P11:P14" si="13">IF($O$19&gt;0,O11*$H$19/$O$19,0)</f>
        <v>425.67764498573075</v>
      </c>
      <c r="Q11" s="16">
        <f>J11*P11</f>
        <v>2524.2684347653831</v>
      </c>
      <c r="R11" s="74">
        <f t="shared" ref="R11:R14" si="14">IF(P11&gt;0,L11+Q11,L11)</f>
        <v>427989.90843476122</v>
      </c>
      <c r="S11" s="91">
        <f t="shared" ref="S11" si="15">R11+R12</f>
        <v>427989.90843476122</v>
      </c>
      <c r="T11" s="22">
        <f t="shared" ref="T11:T14" si="16">L11+Q11</f>
        <v>427989.90843476122</v>
      </c>
      <c r="U11" s="23">
        <f t="shared" si="2"/>
        <v>2562.4285714285465</v>
      </c>
    </row>
    <row r="12" spans="1:21" x14ac:dyDescent="0.3">
      <c r="A12" s="76"/>
      <c r="B12" s="77" t="s">
        <v>55</v>
      </c>
      <c r="C12" s="78" t="s">
        <v>60</v>
      </c>
      <c r="D12" s="79">
        <f>Фев!E12</f>
        <v>3</v>
      </c>
      <c r="E12" s="80">
        <v>3</v>
      </c>
      <c r="F12" s="81">
        <f t="shared" si="5"/>
        <v>0</v>
      </c>
      <c r="G12" s="82">
        <f>400/5</f>
        <v>80</v>
      </c>
      <c r="H12" s="83">
        <f t="shared" si="11"/>
        <v>0</v>
      </c>
      <c r="I12" s="84"/>
      <c r="J12" s="85">
        <f t="shared" si="3"/>
        <v>5.93</v>
      </c>
      <c r="K12" s="135">
        <f t="shared" si="4"/>
        <v>4.1500000000000004</v>
      </c>
      <c r="L12" s="86">
        <f t="shared" si="0"/>
        <v>0</v>
      </c>
      <c r="M12" s="86"/>
      <c r="N12" s="87">
        <v>9.3867222073683532E-2</v>
      </c>
      <c r="O12" s="83">
        <f>H12*N12</f>
        <v>0</v>
      </c>
      <c r="P12" s="83">
        <f t="shared" si="13"/>
        <v>0</v>
      </c>
      <c r="Q12" s="88">
        <f>J12*P12</f>
        <v>0</v>
      </c>
      <c r="R12" s="89">
        <f t="shared" si="14"/>
        <v>0</v>
      </c>
      <c r="S12" s="90"/>
      <c r="T12" s="22">
        <f t="shared" si="16"/>
        <v>0</v>
      </c>
      <c r="U12" s="23">
        <f t="shared" si="2"/>
        <v>0</v>
      </c>
    </row>
    <row r="13" spans="1:21" x14ac:dyDescent="0.3">
      <c r="A13" s="94" t="s">
        <v>61</v>
      </c>
      <c r="B13" s="62" t="s">
        <v>55</v>
      </c>
      <c r="C13" s="63" t="s">
        <v>62</v>
      </c>
      <c r="D13" s="64">
        <f>Фев!E13</f>
        <v>7770.7</v>
      </c>
      <c r="E13" s="95">
        <v>7770.7</v>
      </c>
      <c r="F13" s="66">
        <f t="shared" si="5"/>
        <v>0</v>
      </c>
      <c r="G13" s="67">
        <v>40</v>
      </c>
      <c r="H13" s="68">
        <f t="shared" si="11"/>
        <v>0</v>
      </c>
      <c r="I13" s="96"/>
      <c r="J13" s="70">
        <f t="shared" si="3"/>
        <v>5.93</v>
      </c>
      <c r="K13" s="70">
        <f t="shared" si="4"/>
        <v>4.1500000000000004</v>
      </c>
      <c r="L13" s="71">
        <f t="shared" si="0"/>
        <v>0</v>
      </c>
      <c r="M13" s="71">
        <f t="shared" ref="M13" si="17">L13+L14</f>
        <v>381443.00000000017</v>
      </c>
      <c r="N13" s="72">
        <v>9.3867222073683532E-2</v>
      </c>
      <c r="O13" s="73">
        <f>H13*N13</f>
        <v>0</v>
      </c>
      <c r="P13" s="68">
        <f t="shared" si="13"/>
        <v>0</v>
      </c>
      <c r="Q13" s="16">
        <f>J13*P13</f>
        <v>0</v>
      </c>
      <c r="R13" s="74">
        <f t="shared" si="14"/>
        <v>0</v>
      </c>
      <c r="S13" s="91">
        <f t="shared" ref="S13" si="18">R13+R14</f>
        <v>383725.91701782728</v>
      </c>
      <c r="T13" s="22">
        <f t="shared" si="16"/>
        <v>0</v>
      </c>
      <c r="U13" s="23">
        <f t="shared" si="2"/>
        <v>0</v>
      </c>
    </row>
    <row r="14" spans="1:21" x14ac:dyDescent="0.3">
      <c r="A14" s="76"/>
      <c r="B14" s="77" t="s">
        <v>55</v>
      </c>
      <c r="C14" s="78" t="s">
        <v>63</v>
      </c>
      <c r="D14" s="79">
        <f>Фев!E14</f>
        <v>5798.4</v>
      </c>
      <c r="E14" s="80">
        <v>6609.5</v>
      </c>
      <c r="F14" s="81">
        <f t="shared" si="5"/>
        <v>811.10000000000036</v>
      </c>
      <c r="G14" s="82">
        <f>400/5</f>
        <v>80</v>
      </c>
      <c r="H14" s="83">
        <f t="shared" si="11"/>
        <v>64888.000000000029</v>
      </c>
      <c r="I14" s="84">
        <v>1878</v>
      </c>
      <c r="J14" s="85">
        <f t="shared" si="3"/>
        <v>5.93</v>
      </c>
      <c r="K14" s="135">
        <f t="shared" si="4"/>
        <v>4.1500000000000004</v>
      </c>
      <c r="L14" s="86">
        <f>J14*(H14-I14)+I14*K14</f>
        <v>381443.00000000017</v>
      </c>
      <c r="M14" s="86"/>
      <c r="N14" s="87">
        <v>9.3867222073683532E-2</v>
      </c>
      <c r="O14" s="83">
        <f>H14*N14</f>
        <v>6090.8563059171802</v>
      </c>
      <c r="P14" s="83">
        <f t="shared" si="13"/>
        <v>384.97757467573143</v>
      </c>
      <c r="Q14" s="88">
        <f>J14*P14</f>
        <v>2282.9170178270874</v>
      </c>
      <c r="R14" s="89">
        <f t="shared" si="14"/>
        <v>383725.91701782728</v>
      </c>
      <c r="S14" s="98"/>
      <c r="T14" s="22">
        <f t="shared" si="16"/>
        <v>383725.91701782728</v>
      </c>
      <c r="U14" s="23">
        <f t="shared" si="2"/>
        <v>2317.4285714285725</v>
      </c>
    </row>
    <row r="15" spans="1:21" x14ac:dyDescent="0.3">
      <c r="A15" s="94" t="s">
        <v>64</v>
      </c>
      <c r="B15" s="62" t="s">
        <v>52</v>
      </c>
      <c r="C15" s="63" t="s">
        <v>65</v>
      </c>
      <c r="D15" s="99">
        <f>Фев!E15</f>
        <v>3135.317</v>
      </c>
      <c r="E15" s="100">
        <v>3291.518</v>
      </c>
      <c r="F15" s="101">
        <f t="shared" si="5"/>
        <v>156.20100000000002</v>
      </c>
      <c r="G15" s="102">
        <v>1500</v>
      </c>
      <c r="H15" s="68">
        <f t="shared" si="11"/>
        <v>234301.50000000003</v>
      </c>
      <c r="I15" s="69">
        <f>SUM(I7:I14)</f>
        <v>1878</v>
      </c>
      <c r="J15" s="70">
        <f t="shared" si="3"/>
        <v>5.93</v>
      </c>
      <c r="K15" s="70">
        <f t="shared" si="4"/>
        <v>4.1500000000000004</v>
      </c>
      <c r="L15" s="103">
        <f t="shared" ref="L15:L16" si="19">J15*(H15-I15)+I15*K15</f>
        <v>1386065.0550000002</v>
      </c>
      <c r="M15" s="103"/>
      <c r="N15" s="72"/>
      <c r="O15" s="73"/>
      <c r="P15" s="68"/>
      <c r="Q15" s="16"/>
      <c r="R15" s="103"/>
      <c r="S15" s="104"/>
      <c r="T15" s="22"/>
      <c r="U15" s="23"/>
    </row>
    <row r="16" spans="1:21" x14ac:dyDescent="0.3">
      <c r="A16" s="76" t="s">
        <v>66</v>
      </c>
      <c r="B16" s="77"/>
      <c r="C16" s="78"/>
      <c r="D16" s="105">
        <f>Фев!E16</f>
        <v>0</v>
      </c>
      <c r="E16" s="106"/>
      <c r="F16" s="107"/>
      <c r="G16" s="108"/>
      <c r="H16" s="83"/>
      <c r="I16" s="84"/>
      <c r="J16" s="85">
        <f t="shared" si="3"/>
        <v>0</v>
      </c>
      <c r="K16" s="135">
        <f t="shared" si="4"/>
        <v>0</v>
      </c>
      <c r="L16" s="109">
        <f t="shared" si="19"/>
        <v>0</v>
      </c>
      <c r="M16" s="109"/>
      <c r="N16" s="87"/>
      <c r="O16" s="83"/>
      <c r="P16" s="83"/>
      <c r="Q16" s="88"/>
      <c r="R16" s="110"/>
      <c r="S16" s="111"/>
      <c r="T16" s="22"/>
      <c r="U16" s="23"/>
    </row>
    <row r="17" spans="1:21" x14ac:dyDescent="0.3">
      <c r="A17" s="20"/>
      <c r="B17" s="20"/>
      <c r="C17" s="20"/>
      <c r="D17" s="24"/>
      <c r="E17" s="24"/>
      <c r="F17" s="24"/>
      <c r="G17" s="112"/>
      <c r="H17" s="26"/>
      <c r="I17" s="26"/>
      <c r="J17" s="16"/>
      <c r="K17" s="16"/>
      <c r="L17" s="113"/>
      <c r="M17" s="113"/>
      <c r="N17" s="17"/>
      <c r="O17" s="16"/>
      <c r="P17" s="16"/>
      <c r="Q17" s="16"/>
      <c r="R17" s="16"/>
      <c r="S17" s="16"/>
      <c r="T17" s="22"/>
      <c r="U17" s="23"/>
    </row>
    <row r="18" spans="1:21" x14ac:dyDescent="0.3">
      <c r="A18" s="114"/>
      <c r="B18" s="114"/>
      <c r="C18" s="114"/>
      <c r="D18" s="115"/>
      <c r="E18" s="24"/>
      <c r="F18" s="24"/>
      <c r="G18" s="116" t="s">
        <v>67</v>
      </c>
      <c r="H18" s="26">
        <f>SUM(H7:H14)</f>
        <v>232977.87999999951</v>
      </c>
      <c r="I18" s="26"/>
      <c r="J18" s="20" t="s">
        <v>46</v>
      </c>
      <c r="K18" s="20"/>
      <c r="L18" s="16"/>
      <c r="M18" s="16"/>
      <c r="N18" s="17"/>
      <c r="O18" s="16"/>
      <c r="P18" s="16"/>
      <c r="Q18" s="16"/>
      <c r="R18" s="16"/>
      <c r="S18" s="16"/>
      <c r="T18" s="22"/>
      <c r="U18" s="23"/>
    </row>
    <row r="19" spans="1:21" x14ac:dyDescent="0.3">
      <c r="A19" s="117"/>
      <c r="B19" s="117"/>
      <c r="C19" s="117"/>
      <c r="D19" s="118"/>
      <c r="E19" s="24"/>
      <c r="F19" s="24"/>
      <c r="G19" s="116" t="s">
        <v>68</v>
      </c>
      <c r="H19" s="26">
        <f>IF(H15&gt;0,H15-H18,0)</f>
        <v>1323.6200000005192</v>
      </c>
      <c r="I19" s="26"/>
      <c r="J19" s="20" t="s">
        <v>46</v>
      </c>
      <c r="K19" s="20"/>
      <c r="L19" s="16"/>
      <c r="M19" s="16"/>
      <c r="N19" s="17"/>
      <c r="O19" s="26">
        <f>SUM(O7:O14)</f>
        <v>20941.425563377052</v>
      </c>
      <c r="P19" s="16">
        <f>SUM(P7:P14)</f>
        <v>1323.6200000005192</v>
      </c>
      <c r="Q19" s="16">
        <f>SUM(Q7:Q16)</f>
        <v>7849.0666000030778</v>
      </c>
      <c r="R19" s="119">
        <f>SUM(R7:R14)</f>
        <v>1386065.0550000002</v>
      </c>
      <c r="S19" s="119"/>
      <c r="T19" s="120">
        <f>SUM(T7:T14)</f>
        <v>1386065.0550000002</v>
      </c>
      <c r="U19" s="20"/>
    </row>
    <row r="20" spans="1:21" x14ac:dyDescent="0.3">
      <c r="A20" s="117"/>
      <c r="B20" s="117"/>
      <c r="C20" s="117"/>
      <c r="D20" s="118"/>
      <c r="E20" s="24"/>
      <c r="F20" s="24"/>
      <c r="G20" s="116" t="s">
        <v>69</v>
      </c>
      <c r="H20" s="17">
        <f>IF(H15&gt;0,H19/H15,0)</f>
        <v>5.649216927764095E-3</v>
      </c>
      <c r="I20" s="17"/>
      <c r="J20" s="16"/>
      <c r="K20" s="16"/>
      <c r="L20" s="16"/>
      <c r="M20" s="16"/>
      <c r="N20" s="17"/>
      <c r="O20" s="16"/>
      <c r="P20" s="16"/>
      <c r="Q20" s="16"/>
      <c r="R20" s="16"/>
      <c r="S20" s="16"/>
      <c r="T20" s="22"/>
      <c r="U20" s="20"/>
    </row>
    <row r="21" spans="1:21" x14ac:dyDescent="0.3">
      <c r="A21" s="117"/>
      <c r="B21" s="117"/>
      <c r="C21" s="117"/>
      <c r="D21" s="118"/>
      <c r="E21" s="24"/>
      <c r="F21" s="24"/>
      <c r="G21" s="25"/>
      <c r="H21" s="16"/>
      <c r="I21" s="16"/>
      <c r="J21" s="16"/>
      <c r="K21" s="16"/>
      <c r="L21" s="16"/>
      <c r="M21" s="16"/>
      <c r="N21" s="17"/>
      <c r="O21" s="16"/>
      <c r="P21" s="16"/>
      <c r="Q21" s="16"/>
      <c r="R21" s="16"/>
      <c r="S21" s="16"/>
      <c r="T21" s="22"/>
      <c r="U21" s="20"/>
    </row>
    <row r="22" spans="1:21" x14ac:dyDescent="0.3">
      <c r="A22" s="117"/>
      <c r="B22" s="117"/>
      <c r="C22" s="117"/>
      <c r="D22" s="118"/>
      <c r="E22" s="24"/>
      <c r="F22" s="24"/>
      <c r="G22" s="25"/>
      <c r="H22" s="16"/>
      <c r="I22" s="16"/>
      <c r="J22" s="16"/>
      <c r="K22" s="16"/>
      <c r="L22" s="16"/>
      <c r="M22" s="16"/>
      <c r="N22" s="17"/>
      <c r="O22" s="16"/>
      <c r="P22" s="16"/>
      <c r="Q22" s="16"/>
      <c r="R22" s="121" t="s">
        <v>70</v>
      </c>
      <c r="S22" s="122" t="s">
        <v>71</v>
      </c>
      <c r="T22" s="122" t="s">
        <v>72</v>
      </c>
      <c r="U22" s="20"/>
    </row>
    <row r="23" spans="1:21" x14ac:dyDescent="0.3">
      <c r="A23" s="123"/>
      <c r="B23" s="123"/>
      <c r="C23" s="123"/>
      <c r="D23" s="124"/>
      <c r="E23" s="124"/>
      <c r="F23" s="124"/>
      <c r="G23" s="125" t="s">
        <v>73</v>
      </c>
      <c r="H23" s="119">
        <f>H11+H12+H13+H14</f>
        <v>136635.99999999933</v>
      </c>
      <c r="I23" s="119"/>
      <c r="J23" s="119"/>
      <c r="K23" s="119"/>
      <c r="L23" s="119"/>
      <c r="M23" s="119"/>
      <c r="N23" s="123"/>
      <c r="O23" s="126" t="s">
        <v>74</v>
      </c>
      <c r="P23" s="127">
        <v>136636</v>
      </c>
      <c r="Q23" s="119"/>
      <c r="R23" s="75" t="s">
        <v>75</v>
      </c>
      <c r="S23" s="128"/>
      <c r="T23" s="129"/>
      <c r="U23" s="123"/>
    </row>
    <row r="24" spans="1:21" x14ac:dyDescent="0.3">
      <c r="A24" s="130"/>
      <c r="B24" s="130"/>
      <c r="C24" s="130"/>
      <c r="D24" s="124"/>
      <c r="E24" s="124"/>
      <c r="F24" s="124"/>
      <c r="G24" s="125" t="s">
        <v>76</v>
      </c>
      <c r="H24" s="119">
        <f>L11+L12+L13+L14</f>
        <v>806908.63999999594</v>
      </c>
      <c r="I24" s="119"/>
      <c r="J24" s="119"/>
      <c r="K24" s="119"/>
      <c r="L24" s="119"/>
      <c r="M24" s="119"/>
      <c r="N24" s="131"/>
      <c r="O24" s="126" t="s">
        <v>77</v>
      </c>
      <c r="P24" s="127">
        <v>806908.64</v>
      </c>
      <c r="Q24" s="119"/>
      <c r="R24" s="98">
        <f>M13</f>
        <v>381443.00000000017</v>
      </c>
      <c r="S24" s="132"/>
      <c r="T24" s="98">
        <f>IF(S24&gt;0,R24-S24,0)</f>
        <v>0</v>
      </c>
      <c r="U24" s="117"/>
    </row>
    <row r="25" spans="1:21" x14ac:dyDescent="0.3">
      <c r="A25" s="133"/>
      <c r="B25" s="133"/>
      <c r="C25" s="133"/>
      <c r="D25" s="24"/>
      <c r="E25" s="24"/>
      <c r="F25" s="24"/>
      <c r="G25" s="25"/>
      <c r="H25" s="16"/>
      <c r="I25" s="16"/>
      <c r="J25" s="16"/>
      <c r="K25" s="16"/>
      <c r="L25" s="16"/>
      <c r="M25" s="16"/>
      <c r="N25" s="17"/>
      <c r="O25" s="16"/>
      <c r="P25" s="16"/>
      <c r="Q25" s="16"/>
      <c r="R25" s="104" t="s">
        <v>78</v>
      </c>
      <c r="S25" s="128"/>
      <c r="T25" s="134"/>
      <c r="U25" s="117"/>
    </row>
    <row r="26" spans="1:21" x14ac:dyDescent="0.3">
      <c r="A26" s="20"/>
      <c r="B26" s="20"/>
      <c r="C26" s="20"/>
      <c r="D26" s="24"/>
      <c r="E26" s="24"/>
      <c r="F26" s="24"/>
      <c r="G26" s="25"/>
      <c r="H26" s="26"/>
      <c r="I26" s="26"/>
      <c r="J26" s="16"/>
      <c r="K26" s="16"/>
      <c r="L26" s="16"/>
      <c r="M26" s="16"/>
      <c r="N26" s="17"/>
      <c r="O26" s="16"/>
      <c r="P26" s="16"/>
      <c r="Q26" s="16"/>
      <c r="R26" s="111">
        <f>M11</f>
        <v>425465.63999999582</v>
      </c>
      <c r="S26" s="135"/>
      <c r="T26" s="111">
        <f>IF(S26&gt;0,R26-S26,0)</f>
        <v>0</v>
      </c>
      <c r="U26" s="117"/>
    </row>
    <row r="27" spans="1:21" x14ac:dyDescent="0.3">
      <c r="A27" s="20"/>
      <c r="B27" s="20"/>
      <c r="C27" s="20"/>
      <c r="D27" s="24" t="s">
        <v>79</v>
      </c>
      <c r="E27" s="24"/>
      <c r="F27" s="24"/>
      <c r="G27" s="25"/>
      <c r="H27" s="26"/>
      <c r="I27" s="26"/>
      <c r="J27" s="16"/>
      <c r="K27" s="16"/>
      <c r="L27" s="16"/>
      <c r="M27" s="16"/>
      <c r="N27" s="17"/>
      <c r="O27" s="16"/>
      <c r="P27" s="16"/>
      <c r="Q27" s="16"/>
      <c r="R27" s="104" t="s">
        <v>80</v>
      </c>
      <c r="S27" s="136"/>
      <c r="T27" s="134"/>
      <c r="U27" s="117"/>
    </row>
    <row r="28" spans="1:21" x14ac:dyDescent="0.3">
      <c r="A28" s="20"/>
      <c r="B28" s="20"/>
      <c r="C28" s="20"/>
      <c r="D28" s="24" t="s">
        <v>81</v>
      </c>
      <c r="E28" s="24"/>
      <c r="F28" s="24"/>
      <c r="G28" s="25"/>
      <c r="H28" s="26"/>
      <c r="I28" s="26"/>
      <c r="J28" s="16"/>
      <c r="K28" s="16"/>
      <c r="L28" s="16" t="s">
        <v>82</v>
      </c>
      <c r="M28" s="16"/>
      <c r="N28" s="17"/>
      <c r="O28" s="16"/>
      <c r="P28" s="16"/>
      <c r="Q28" s="16"/>
      <c r="R28" s="111">
        <f>R24+R26</f>
        <v>806908.63999999594</v>
      </c>
      <c r="S28" s="135"/>
      <c r="T28" s="111">
        <f>T24+T26</f>
        <v>0</v>
      </c>
      <c r="U28" s="117"/>
    </row>
  </sheetData>
  <mergeCells count="3">
    <mergeCell ref="B4:C4"/>
    <mergeCell ref="D4:E4"/>
    <mergeCell ref="D5:E5"/>
  </mergeCells>
  <pageMargins left="0.7" right="0.7" top="0.75" bottom="0.75" header="0.3" footer="0.3"/>
  <pageSetup paperSize="9"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59183-6BA4-4B81-AA21-E176B73C528C}">
  <sheetPr>
    <tabColor rgb="FF00FF00"/>
  </sheetPr>
  <dimension ref="A1:U28"/>
  <sheetViews>
    <sheetView showZeros="0" topLeftCell="A4" workbookViewId="0">
      <selection activeCell="M25" sqref="M25:P25"/>
    </sheetView>
  </sheetViews>
  <sheetFormatPr defaultRowHeight="14.4" x14ac:dyDescent="0.3"/>
  <cols>
    <col min="1" max="1" width="9.109375" customWidth="1"/>
    <col min="2" max="2" width="11.44140625" bestFit="1" customWidth="1"/>
    <col min="3" max="3" width="13.33203125" bestFit="1" customWidth="1"/>
    <col min="4" max="5" width="9.109375" customWidth="1"/>
    <col min="6" max="6" width="7.21875" bestFit="1" customWidth="1"/>
    <col min="7" max="7" width="6.5546875" customWidth="1"/>
    <col min="8" max="8" width="9.21875" bestFit="1" customWidth="1"/>
    <col min="9" max="9" width="7.88671875" bestFit="1" customWidth="1"/>
    <col min="10" max="11" width="5.33203125" bestFit="1" customWidth="1"/>
    <col min="12" max="12" width="11.21875" customWidth="1"/>
    <col min="13" max="13" width="11.6640625" bestFit="1" customWidth="1"/>
    <col min="14" max="14" width="6.44140625" bestFit="1" customWidth="1"/>
    <col min="15" max="15" width="7.88671875" customWidth="1"/>
    <col min="16" max="16" width="9.21875" bestFit="1" customWidth="1"/>
    <col min="17" max="17" width="8.77734375" bestFit="1" customWidth="1"/>
    <col min="18" max="19" width="10.5546875" bestFit="1" customWidth="1"/>
    <col min="20" max="20" width="10.109375" bestFit="1" customWidth="1"/>
    <col min="21" max="21" width="12.109375" bestFit="1" customWidth="1"/>
  </cols>
  <sheetData>
    <row r="1" spans="1:21" ht="15.6" x14ac:dyDescent="0.3">
      <c r="A1" s="1" t="s">
        <v>0</v>
      </c>
      <c r="B1" s="1"/>
      <c r="C1" s="1"/>
      <c r="D1" s="2"/>
      <c r="E1" s="2"/>
      <c r="F1" s="2"/>
      <c r="G1" s="1"/>
      <c r="H1" s="3"/>
      <c r="I1" s="3"/>
      <c r="J1" s="4"/>
      <c r="K1" s="4"/>
      <c r="L1" s="5"/>
      <c r="M1" s="5"/>
      <c r="N1" s="6"/>
      <c r="O1" s="7"/>
      <c r="P1" s="7"/>
      <c r="Q1" s="4"/>
      <c r="R1" s="4"/>
      <c r="S1" s="4"/>
      <c r="T1" s="8"/>
      <c r="U1" s="9"/>
    </row>
    <row r="2" spans="1:21" x14ac:dyDescent="0.3">
      <c r="A2" s="10" t="s">
        <v>1</v>
      </c>
      <c r="B2" s="11" t="s">
        <v>88</v>
      </c>
      <c r="C2" s="12" t="s">
        <v>3</v>
      </c>
      <c r="D2" s="13">
        <v>2022</v>
      </c>
      <c r="E2" s="14" t="s">
        <v>4</v>
      </c>
      <c r="F2" s="15">
        <v>25</v>
      </c>
      <c r="G2" s="16"/>
      <c r="H2" s="16"/>
      <c r="I2" s="16"/>
      <c r="J2" s="16"/>
      <c r="K2" s="16"/>
      <c r="L2" s="17"/>
      <c r="M2" s="16"/>
      <c r="N2" s="16"/>
      <c r="O2" s="18" t="s">
        <v>5</v>
      </c>
      <c r="P2" s="19">
        <v>32</v>
      </c>
      <c r="Q2" s="20"/>
      <c r="R2" s="20"/>
      <c r="S2" s="21"/>
      <c r="T2" s="22"/>
      <c r="U2" s="23"/>
    </row>
    <row r="3" spans="1:21" s="139" customFormat="1" ht="12" x14ac:dyDescent="0.25">
      <c r="A3" s="138" t="s">
        <v>85</v>
      </c>
      <c r="B3" s="20"/>
      <c r="C3" s="140">
        <f>Янв!C3</f>
        <v>5.93</v>
      </c>
      <c r="D3" s="24"/>
      <c r="E3" s="137" t="s">
        <v>86</v>
      </c>
      <c r="F3" s="24"/>
      <c r="G3" s="140">
        <f>Янв!G3</f>
        <v>4.1500000000000004</v>
      </c>
      <c r="H3" s="26"/>
      <c r="I3" s="26"/>
      <c r="J3" s="16"/>
      <c r="K3" s="16"/>
      <c r="L3" s="16"/>
      <c r="M3" s="16"/>
      <c r="N3" s="17"/>
      <c r="O3" s="16"/>
      <c r="P3" s="16"/>
      <c r="Q3" s="16"/>
      <c r="R3" s="16"/>
      <c r="S3" s="16"/>
      <c r="T3" s="22"/>
      <c r="U3" s="23"/>
    </row>
    <row r="4" spans="1:21" x14ac:dyDescent="0.3">
      <c r="A4" s="27" t="s">
        <v>6</v>
      </c>
      <c r="B4" s="199" t="s">
        <v>7</v>
      </c>
      <c r="C4" s="200"/>
      <c r="D4" s="205" t="s">
        <v>8</v>
      </c>
      <c r="E4" s="206"/>
      <c r="F4" s="28" t="s">
        <v>9</v>
      </c>
      <c r="G4" s="29" t="s">
        <v>10</v>
      </c>
      <c r="H4" s="30" t="s">
        <v>11</v>
      </c>
      <c r="I4" s="30" t="s">
        <v>12</v>
      </c>
      <c r="J4" s="31" t="s">
        <v>13</v>
      </c>
      <c r="K4" s="32" t="s">
        <v>14</v>
      </c>
      <c r="L4" s="33" t="s">
        <v>15</v>
      </c>
      <c r="M4" s="33" t="s">
        <v>16</v>
      </c>
      <c r="N4" s="34" t="s">
        <v>17</v>
      </c>
      <c r="O4" s="35" t="s">
        <v>18</v>
      </c>
      <c r="P4" s="35" t="s">
        <v>19</v>
      </c>
      <c r="Q4" s="35" t="s">
        <v>15</v>
      </c>
      <c r="R4" s="36" t="s">
        <v>20</v>
      </c>
      <c r="S4" s="37" t="s">
        <v>21</v>
      </c>
      <c r="T4" s="38" t="s">
        <v>22</v>
      </c>
      <c r="U4" s="23" t="s">
        <v>23</v>
      </c>
    </row>
    <row r="5" spans="1:21" x14ac:dyDescent="0.3">
      <c r="A5" s="39"/>
      <c r="B5" s="27" t="s">
        <v>24</v>
      </c>
      <c r="C5" s="27" t="s">
        <v>25</v>
      </c>
      <c r="D5" s="207" t="s">
        <v>26</v>
      </c>
      <c r="E5" s="208"/>
      <c r="F5" s="40"/>
      <c r="G5" s="41" t="s">
        <v>27</v>
      </c>
      <c r="H5" s="39" t="s">
        <v>28</v>
      </c>
      <c r="I5" s="39" t="s">
        <v>29</v>
      </c>
      <c r="J5" s="42" t="s">
        <v>30</v>
      </c>
      <c r="K5" s="43" t="s">
        <v>31</v>
      </c>
      <c r="L5" s="44" t="s">
        <v>32</v>
      </c>
      <c r="M5" s="44" t="s">
        <v>33</v>
      </c>
      <c r="N5" s="45" t="s">
        <v>34</v>
      </c>
      <c r="O5" s="46" t="s">
        <v>35</v>
      </c>
      <c r="P5" s="46" t="s">
        <v>36</v>
      </c>
      <c r="Q5" s="46" t="s">
        <v>37</v>
      </c>
      <c r="R5" s="47" t="s">
        <v>38</v>
      </c>
      <c r="S5" s="48" t="s">
        <v>39</v>
      </c>
      <c r="T5" s="38" t="s">
        <v>40</v>
      </c>
      <c r="U5" s="23" t="s">
        <v>41</v>
      </c>
    </row>
    <row r="6" spans="1:21" x14ac:dyDescent="0.3">
      <c r="A6" s="49"/>
      <c r="B6" s="49" t="s">
        <v>42</v>
      </c>
      <c r="C6" s="49" t="s">
        <v>42</v>
      </c>
      <c r="D6" s="50" t="s">
        <v>43</v>
      </c>
      <c r="E6" s="51" t="s">
        <v>44</v>
      </c>
      <c r="F6" s="52"/>
      <c r="G6" s="53" t="s">
        <v>45</v>
      </c>
      <c r="H6" s="54" t="s">
        <v>46</v>
      </c>
      <c r="I6" s="54" t="s">
        <v>47</v>
      </c>
      <c r="J6" s="55" t="s">
        <v>46</v>
      </c>
      <c r="K6" s="56"/>
      <c r="L6" s="57" t="s">
        <v>48</v>
      </c>
      <c r="M6" s="57" t="s">
        <v>48</v>
      </c>
      <c r="N6" s="58"/>
      <c r="O6" s="59" t="s">
        <v>46</v>
      </c>
      <c r="P6" s="59" t="s">
        <v>46</v>
      </c>
      <c r="Q6" s="59" t="s">
        <v>48</v>
      </c>
      <c r="R6" s="60" t="s">
        <v>49</v>
      </c>
      <c r="S6" s="60" t="s">
        <v>49</v>
      </c>
      <c r="T6" s="38" t="s">
        <v>34</v>
      </c>
      <c r="U6" s="23" t="s">
        <v>50</v>
      </c>
    </row>
    <row r="7" spans="1:21" x14ac:dyDescent="0.3">
      <c r="A7" s="61" t="s">
        <v>51</v>
      </c>
      <c r="B7" s="62" t="s">
        <v>52</v>
      </c>
      <c r="C7" s="63" t="s">
        <v>53</v>
      </c>
      <c r="D7" s="64">
        <f>Мар!E7</f>
        <v>74863.078999999998</v>
      </c>
      <c r="E7" s="65">
        <v>75979.053</v>
      </c>
      <c r="F7" s="66">
        <f>IF(E7&gt;0,E7-D7,0)</f>
        <v>1115.974000000002</v>
      </c>
      <c r="G7" s="67">
        <v>60</v>
      </c>
      <c r="H7" s="68">
        <f>F7*G7</f>
        <v>66958.440000000119</v>
      </c>
      <c r="I7" s="69"/>
      <c r="J7" s="70">
        <f>IF(G7&gt;0,$C$3,0)</f>
        <v>5.93</v>
      </c>
      <c r="K7" s="70">
        <f>IF(G7&gt;0,$G$3,0)</f>
        <v>4.1500000000000004</v>
      </c>
      <c r="L7" s="71">
        <f t="shared" ref="L7:L13" si="0">J7*(H7-I7)+I7*K7</f>
        <v>397063.54920000071</v>
      </c>
      <c r="M7" s="71">
        <f>L7+L8</f>
        <v>397063.54920000071</v>
      </c>
      <c r="N7" s="72">
        <v>8.4239417043940584E-2</v>
      </c>
      <c r="O7" s="73">
        <f>H7*N7</f>
        <v>5640.5399517716833</v>
      </c>
      <c r="P7" s="68">
        <f>IF($O$19&gt;0,O7*$H$19/$O$19,0)</f>
        <v>648.66083145080052</v>
      </c>
      <c r="Q7" s="16">
        <f>J7*P7</f>
        <v>3846.5587305032468</v>
      </c>
      <c r="R7" s="74">
        <f>IF(P7&gt;0,L7+Q7,L7)</f>
        <v>400910.10793050396</v>
      </c>
      <c r="S7" s="75">
        <f t="shared" ref="S7" si="1">R7+R8</f>
        <v>400910.10793050396</v>
      </c>
      <c r="T7" s="22">
        <f>L7+Q7</f>
        <v>400910.10793050396</v>
      </c>
      <c r="U7" s="23">
        <f t="shared" ref="U7:U14" si="2">IF($P$2&gt;0,H7/$P$2,0)</f>
        <v>2092.4512500000037</v>
      </c>
    </row>
    <row r="8" spans="1:21" x14ac:dyDescent="0.3">
      <c r="A8" s="76"/>
      <c r="B8" s="77"/>
      <c r="C8" s="78"/>
      <c r="D8" s="79">
        <f>Мар!E8</f>
        <v>0</v>
      </c>
      <c r="E8" s="80"/>
      <c r="F8" s="81"/>
      <c r="G8" s="82"/>
      <c r="H8" s="83"/>
      <c r="I8" s="84"/>
      <c r="J8" s="85">
        <f t="shared" ref="J8:J16" si="3">IF(G8&gt;0,$C$3,0)</f>
        <v>0</v>
      </c>
      <c r="K8" s="135">
        <f t="shared" ref="K8:K16" si="4">IF(G8&gt;0,$G$3,0)</f>
        <v>0</v>
      </c>
      <c r="L8" s="86">
        <f t="shared" si="0"/>
        <v>0</v>
      </c>
      <c r="M8" s="86"/>
      <c r="N8" s="87"/>
      <c r="O8" s="83"/>
      <c r="P8" s="83"/>
      <c r="Q8" s="88"/>
      <c r="R8" s="89"/>
      <c r="S8" s="90"/>
      <c r="T8" s="22"/>
      <c r="U8" s="23">
        <f t="shared" si="2"/>
        <v>0</v>
      </c>
    </row>
    <row r="9" spans="1:21" x14ac:dyDescent="0.3">
      <c r="A9" s="61" t="s">
        <v>54</v>
      </c>
      <c r="B9" s="62" t="s">
        <v>55</v>
      </c>
      <c r="C9" s="63" t="s">
        <v>56</v>
      </c>
      <c r="D9" s="64">
        <f>Мар!E9</f>
        <v>15518.3</v>
      </c>
      <c r="E9" s="65">
        <v>16158.4</v>
      </c>
      <c r="F9" s="66">
        <f t="shared" ref="F9:F15" si="5">IF(E9&gt;0,E9-D9,0)</f>
        <v>640.10000000000036</v>
      </c>
      <c r="G9" s="67">
        <v>50</v>
      </c>
      <c r="H9" s="68">
        <f>F9*G9+F10*G10</f>
        <v>32005.000000000018</v>
      </c>
      <c r="I9" s="69"/>
      <c r="J9" s="70">
        <f t="shared" si="3"/>
        <v>5.93</v>
      </c>
      <c r="K9" s="70">
        <f t="shared" si="4"/>
        <v>4.1500000000000004</v>
      </c>
      <c r="L9" s="71">
        <f t="shared" si="0"/>
        <v>189789.65000000011</v>
      </c>
      <c r="M9" s="71">
        <f t="shared" ref="M9" si="6">L9+L10</f>
        <v>189789.65000000011</v>
      </c>
      <c r="N9" s="72">
        <v>8.4239417043940584E-2</v>
      </c>
      <c r="O9" s="73">
        <f>H9*N9</f>
        <v>2696.0825424913201</v>
      </c>
      <c r="P9" s="68">
        <f t="shared" ref="P9" si="7">IF($O$19&gt;0,O9*$H$19/$O$19,0)</f>
        <v>310.04888869249112</v>
      </c>
      <c r="Q9" s="16">
        <f>J9*P9</f>
        <v>1838.5899099464723</v>
      </c>
      <c r="R9" s="74">
        <f t="shared" ref="R9" si="8">IF(P9&gt;0,L9+Q9,L9)</f>
        <v>191628.23990994657</v>
      </c>
      <c r="S9" s="91">
        <f t="shared" ref="S9" si="9">R9+R10</f>
        <v>191628.23990994657</v>
      </c>
      <c r="T9" s="22">
        <f t="shared" ref="T9" si="10">L9+Q9</f>
        <v>191628.23990994657</v>
      </c>
      <c r="U9" s="23">
        <f t="shared" si="2"/>
        <v>1000.1562500000006</v>
      </c>
    </row>
    <row r="10" spans="1:21" x14ac:dyDescent="0.3">
      <c r="A10" s="92" t="s">
        <v>57</v>
      </c>
      <c r="B10" s="77"/>
      <c r="C10" s="78"/>
      <c r="D10" s="79">
        <f>Мар!E10</f>
        <v>0</v>
      </c>
      <c r="E10" s="80"/>
      <c r="F10" s="93"/>
      <c r="G10" s="82"/>
      <c r="H10" s="83"/>
      <c r="I10" s="84"/>
      <c r="J10" s="85">
        <f t="shared" si="3"/>
        <v>0</v>
      </c>
      <c r="K10" s="135">
        <f t="shared" si="4"/>
        <v>0</v>
      </c>
      <c r="L10" s="86">
        <f t="shared" si="0"/>
        <v>0</v>
      </c>
      <c r="M10" s="86"/>
      <c r="N10" s="87"/>
      <c r="O10" s="83"/>
      <c r="P10" s="83"/>
      <c r="Q10" s="88"/>
      <c r="R10" s="89"/>
      <c r="S10" s="90"/>
      <c r="T10" s="22"/>
      <c r="U10" s="23">
        <f t="shared" si="2"/>
        <v>0</v>
      </c>
    </row>
    <row r="11" spans="1:21" x14ac:dyDescent="0.3">
      <c r="A11" s="94" t="s">
        <v>58</v>
      </c>
      <c r="B11" s="62" t="s">
        <v>55</v>
      </c>
      <c r="C11" s="63" t="s">
        <v>59</v>
      </c>
      <c r="D11" s="64">
        <f>Мар!E11</f>
        <v>85017.4</v>
      </c>
      <c r="E11" s="95">
        <v>86200.6</v>
      </c>
      <c r="F11" s="66">
        <f t="shared" si="5"/>
        <v>1183.2000000000116</v>
      </c>
      <c r="G11" s="67">
        <v>60</v>
      </c>
      <c r="H11" s="68">
        <f t="shared" ref="H11:H15" si="11">F11*G11</f>
        <v>70992.000000000698</v>
      </c>
      <c r="I11" s="69"/>
      <c r="J11" s="70">
        <f t="shared" si="3"/>
        <v>5.93</v>
      </c>
      <c r="K11" s="70">
        <f t="shared" si="4"/>
        <v>4.1500000000000004</v>
      </c>
      <c r="L11" s="71">
        <f t="shared" si="0"/>
        <v>420982.56000000413</v>
      </c>
      <c r="M11" s="71">
        <f t="shared" ref="M11" si="12">L11+L12</f>
        <v>420982.56000000413</v>
      </c>
      <c r="N11" s="72">
        <v>9.3867222073683532E-2</v>
      </c>
      <c r="O11" s="73">
        <f>H11*N11</f>
        <v>6663.821829455007</v>
      </c>
      <c r="P11" s="68">
        <f t="shared" ref="P11:P14" si="13">IF($O$19&gt;0,O11*$H$19/$O$19,0)</f>
        <v>766.33801825595992</v>
      </c>
      <c r="Q11" s="16">
        <f>J11*P11</f>
        <v>4544.3844482578425</v>
      </c>
      <c r="R11" s="74">
        <f t="shared" ref="R11:R14" si="14">IF(P11&gt;0,L11+Q11,L11)</f>
        <v>425526.94444826199</v>
      </c>
      <c r="S11" s="91">
        <f t="shared" ref="S11" si="15">R11+R12</f>
        <v>425526.94444826199</v>
      </c>
      <c r="T11" s="22">
        <f t="shared" ref="T11:T14" si="16">L11+Q11</f>
        <v>425526.94444826199</v>
      </c>
      <c r="U11" s="23">
        <f t="shared" si="2"/>
        <v>2218.5000000000218</v>
      </c>
    </row>
    <row r="12" spans="1:21" x14ac:dyDescent="0.3">
      <c r="A12" s="76"/>
      <c r="B12" s="77" t="s">
        <v>55</v>
      </c>
      <c r="C12" s="78" t="s">
        <v>60</v>
      </c>
      <c r="D12" s="79">
        <f>Мар!E12</f>
        <v>3</v>
      </c>
      <c r="E12" s="80">
        <v>3</v>
      </c>
      <c r="F12" s="81">
        <f t="shared" si="5"/>
        <v>0</v>
      </c>
      <c r="G12" s="82">
        <f>400/5</f>
        <v>80</v>
      </c>
      <c r="H12" s="83">
        <f t="shared" si="11"/>
        <v>0</v>
      </c>
      <c r="I12" s="84"/>
      <c r="J12" s="85">
        <f t="shared" si="3"/>
        <v>5.93</v>
      </c>
      <c r="K12" s="135">
        <f t="shared" si="4"/>
        <v>4.1500000000000004</v>
      </c>
      <c r="L12" s="86">
        <f t="shared" si="0"/>
        <v>0</v>
      </c>
      <c r="M12" s="86"/>
      <c r="N12" s="87">
        <v>9.3867222073683532E-2</v>
      </c>
      <c r="O12" s="83">
        <f>H12*N12</f>
        <v>0</v>
      </c>
      <c r="P12" s="83">
        <f t="shared" si="13"/>
        <v>0</v>
      </c>
      <c r="Q12" s="88">
        <f>J12*P12</f>
        <v>0</v>
      </c>
      <c r="R12" s="89">
        <f t="shared" si="14"/>
        <v>0</v>
      </c>
      <c r="S12" s="90"/>
      <c r="T12" s="22">
        <f t="shared" si="16"/>
        <v>0</v>
      </c>
      <c r="U12" s="23">
        <f t="shared" si="2"/>
        <v>0</v>
      </c>
    </row>
    <row r="13" spans="1:21" x14ac:dyDescent="0.3">
      <c r="A13" s="94" t="s">
        <v>61</v>
      </c>
      <c r="B13" s="62" t="s">
        <v>55</v>
      </c>
      <c r="C13" s="63" t="s">
        <v>62</v>
      </c>
      <c r="D13" s="64">
        <f>Мар!E13</f>
        <v>7770.7</v>
      </c>
      <c r="E13" s="95">
        <v>7770.7</v>
      </c>
      <c r="F13" s="66">
        <f t="shared" si="5"/>
        <v>0</v>
      </c>
      <c r="G13" s="67">
        <v>40</v>
      </c>
      <c r="H13" s="68">
        <f t="shared" si="11"/>
        <v>0</v>
      </c>
      <c r="I13" s="96"/>
      <c r="J13" s="70">
        <f t="shared" si="3"/>
        <v>5.93</v>
      </c>
      <c r="K13" s="70">
        <f t="shared" si="4"/>
        <v>4.1500000000000004</v>
      </c>
      <c r="L13" s="71">
        <f t="shared" si="0"/>
        <v>0</v>
      </c>
      <c r="M13" s="71">
        <f t="shared" ref="M13" si="17">L13+L14</f>
        <v>369767.03999999992</v>
      </c>
      <c r="N13" s="72">
        <v>9.3867222073683532E-2</v>
      </c>
      <c r="O13" s="73">
        <f>H13*N13</f>
        <v>0</v>
      </c>
      <c r="P13" s="68">
        <f t="shared" si="13"/>
        <v>0</v>
      </c>
      <c r="Q13" s="16">
        <f>J13*P13</f>
        <v>0</v>
      </c>
      <c r="R13" s="74">
        <f t="shared" si="14"/>
        <v>0</v>
      </c>
      <c r="S13" s="91">
        <f t="shared" ref="S13" si="18">R13+R14</f>
        <v>373790.61771128699</v>
      </c>
      <c r="T13" s="22">
        <f t="shared" si="16"/>
        <v>0</v>
      </c>
      <c r="U13" s="23">
        <f t="shared" si="2"/>
        <v>0</v>
      </c>
    </row>
    <row r="14" spans="1:21" x14ac:dyDescent="0.3">
      <c r="A14" s="76"/>
      <c r="B14" s="77" t="s">
        <v>55</v>
      </c>
      <c r="C14" s="78" t="s">
        <v>63</v>
      </c>
      <c r="D14" s="79">
        <f>Мар!E14</f>
        <v>6609.5</v>
      </c>
      <c r="E14" s="80">
        <v>7395.2</v>
      </c>
      <c r="F14" s="81">
        <f t="shared" si="5"/>
        <v>785.69999999999982</v>
      </c>
      <c r="G14" s="82">
        <f>400/5</f>
        <v>80</v>
      </c>
      <c r="H14" s="83">
        <f t="shared" si="11"/>
        <v>62855.999999999985</v>
      </c>
      <c r="I14" s="84">
        <v>1668</v>
      </c>
      <c r="J14" s="85">
        <f t="shared" si="3"/>
        <v>5.93</v>
      </c>
      <c r="K14" s="135">
        <f t="shared" si="4"/>
        <v>4.1500000000000004</v>
      </c>
      <c r="L14" s="86">
        <f>J14*(H14-I14)+I14*K14</f>
        <v>369767.03999999992</v>
      </c>
      <c r="M14" s="86"/>
      <c r="N14" s="87">
        <v>9.3867222073683532E-2</v>
      </c>
      <c r="O14" s="83">
        <f>H14*N14</f>
        <v>5900.1181106634504</v>
      </c>
      <c r="P14" s="83">
        <f t="shared" si="13"/>
        <v>678.51226159984401</v>
      </c>
      <c r="Q14" s="88">
        <f>J14*P14</f>
        <v>4023.5777112870746</v>
      </c>
      <c r="R14" s="89">
        <f t="shared" si="14"/>
        <v>373790.61771128699</v>
      </c>
      <c r="S14" s="98"/>
      <c r="T14" s="22">
        <f t="shared" si="16"/>
        <v>373790.61771128699</v>
      </c>
      <c r="U14" s="23">
        <f t="shared" si="2"/>
        <v>1964.2499999999995</v>
      </c>
    </row>
    <row r="15" spans="1:21" x14ac:dyDescent="0.3">
      <c r="A15" s="94" t="s">
        <v>64</v>
      </c>
      <c r="B15" s="62" t="s">
        <v>52</v>
      </c>
      <c r="C15" s="63" t="s">
        <v>65</v>
      </c>
      <c r="D15" s="99">
        <f>Мар!E15</f>
        <v>3291.518</v>
      </c>
      <c r="E15" s="100">
        <v>3448.328</v>
      </c>
      <c r="F15" s="101">
        <f t="shared" si="5"/>
        <v>156.80999999999995</v>
      </c>
      <c r="G15" s="102">
        <v>1500</v>
      </c>
      <c r="H15" s="68">
        <f t="shared" si="11"/>
        <v>235214.99999999991</v>
      </c>
      <c r="I15" s="69">
        <f>SUM(I7:I14)</f>
        <v>1668</v>
      </c>
      <c r="J15" s="70">
        <f t="shared" si="3"/>
        <v>5.93</v>
      </c>
      <c r="K15" s="70">
        <f t="shared" si="4"/>
        <v>4.1500000000000004</v>
      </c>
      <c r="L15" s="103">
        <f t="shared" ref="L15:L16" si="19">J15*(H15-I15)+I15*K15</f>
        <v>1391855.9099999995</v>
      </c>
      <c r="M15" s="103"/>
      <c r="N15" s="72"/>
      <c r="O15" s="73"/>
      <c r="P15" s="68"/>
      <c r="Q15" s="16"/>
      <c r="R15" s="103"/>
      <c r="S15" s="104"/>
      <c r="T15" s="22"/>
      <c r="U15" s="23"/>
    </row>
    <row r="16" spans="1:21" x14ac:dyDescent="0.3">
      <c r="A16" s="76" t="s">
        <v>66</v>
      </c>
      <c r="B16" s="77"/>
      <c r="C16" s="78"/>
      <c r="D16" s="105">
        <f>Мар!E16</f>
        <v>0</v>
      </c>
      <c r="E16" s="106"/>
      <c r="F16" s="107"/>
      <c r="G16" s="108"/>
      <c r="H16" s="83"/>
      <c r="I16" s="84"/>
      <c r="J16" s="85">
        <f t="shared" si="3"/>
        <v>0</v>
      </c>
      <c r="K16" s="135">
        <f t="shared" si="4"/>
        <v>0</v>
      </c>
      <c r="L16" s="109">
        <f t="shared" si="19"/>
        <v>0</v>
      </c>
      <c r="M16" s="109"/>
      <c r="N16" s="87"/>
      <c r="O16" s="83"/>
      <c r="P16" s="83"/>
      <c r="Q16" s="88"/>
      <c r="R16" s="110"/>
      <c r="S16" s="111"/>
      <c r="T16" s="22"/>
      <c r="U16" s="23"/>
    </row>
    <row r="17" spans="1:21" x14ac:dyDescent="0.3">
      <c r="A17" s="20"/>
      <c r="B17" s="20"/>
      <c r="C17" s="20"/>
      <c r="D17" s="24"/>
      <c r="E17" s="24"/>
      <c r="F17" s="24"/>
      <c r="G17" s="112"/>
      <c r="H17" s="26"/>
      <c r="I17" s="26"/>
      <c r="J17" s="16"/>
      <c r="K17" s="16"/>
      <c r="L17" s="113"/>
      <c r="M17" s="113"/>
      <c r="N17" s="17"/>
      <c r="O17" s="16"/>
      <c r="P17" s="16"/>
      <c r="Q17" s="16"/>
      <c r="R17" s="16"/>
      <c r="S17" s="16"/>
      <c r="T17" s="22"/>
      <c r="U17" s="23"/>
    </row>
    <row r="18" spans="1:21" x14ac:dyDescent="0.3">
      <c r="A18" s="114"/>
      <c r="B18" s="114"/>
      <c r="C18" s="114"/>
      <c r="D18" s="115"/>
      <c r="E18" s="24"/>
      <c r="F18" s="24"/>
      <c r="G18" s="116" t="s">
        <v>67</v>
      </c>
      <c r="H18" s="26">
        <f>SUM(H7:H14)</f>
        <v>232811.44000000082</v>
      </c>
      <c r="I18" s="26"/>
      <c r="J18" s="20" t="s">
        <v>46</v>
      </c>
      <c r="K18" s="20"/>
      <c r="L18" s="16"/>
      <c r="M18" s="16"/>
      <c r="N18" s="17"/>
      <c r="O18" s="16"/>
      <c r="P18" s="16"/>
      <c r="Q18" s="16"/>
      <c r="R18" s="16"/>
      <c r="S18" s="16"/>
      <c r="T18" s="22"/>
      <c r="U18" s="23"/>
    </row>
    <row r="19" spans="1:21" x14ac:dyDescent="0.3">
      <c r="A19" s="117"/>
      <c r="B19" s="117"/>
      <c r="C19" s="117"/>
      <c r="D19" s="118"/>
      <c r="E19" s="24"/>
      <c r="F19" s="24"/>
      <c r="G19" s="116" t="s">
        <v>68</v>
      </c>
      <c r="H19" s="26">
        <f>IF(H15&gt;0,H15-H18,0)</f>
        <v>2403.5599999990955</v>
      </c>
      <c r="I19" s="26"/>
      <c r="J19" s="20" t="s">
        <v>46</v>
      </c>
      <c r="K19" s="20"/>
      <c r="L19" s="16"/>
      <c r="M19" s="16"/>
      <c r="N19" s="17"/>
      <c r="O19" s="26">
        <f>SUM(O7:O14)</f>
        <v>20900.56243438146</v>
      </c>
      <c r="P19" s="16">
        <f>SUM(P7:P14)</f>
        <v>2403.5599999990955</v>
      </c>
      <c r="Q19" s="16">
        <f>SUM(Q7:Q16)</f>
        <v>14253.110799994636</v>
      </c>
      <c r="R19" s="119">
        <f>SUM(R7:R14)</f>
        <v>1391855.9099999995</v>
      </c>
      <c r="S19" s="119"/>
      <c r="T19" s="120">
        <f>SUM(T7:T14)</f>
        <v>1391855.9099999995</v>
      </c>
      <c r="U19" s="20"/>
    </row>
    <row r="20" spans="1:21" x14ac:dyDescent="0.3">
      <c r="A20" s="117"/>
      <c r="B20" s="117"/>
      <c r="C20" s="117"/>
      <c r="D20" s="118"/>
      <c r="E20" s="24"/>
      <c r="F20" s="24"/>
      <c r="G20" s="116" t="s">
        <v>69</v>
      </c>
      <c r="H20" s="17">
        <f>IF(H15&gt;0,H19/H15,0)</f>
        <v>1.0218565992811242E-2</v>
      </c>
      <c r="I20" s="17"/>
      <c r="J20" s="16"/>
      <c r="K20" s="16"/>
      <c r="L20" s="16"/>
      <c r="M20" s="16"/>
      <c r="N20" s="17"/>
      <c r="O20" s="16"/>
      <c r="P20" s="16"/>
      <c r="Q20" s="16"/>
      <c r="R20" s="16"/>
      <c r="S20" s="16"/>
      <c r="T20" s="22"/>
      <c r="U20" s="20"/>
    </row>
    <row r="21" spans="1:21" x14ac:dyDescent="0.3">
      <c r="A21" s="117"/>
      <c r="B21" s="117"/>
      <c r="C21" s="117"/>
      <c r="D21" s="118"/>
      <c r="E21" s="24"/>
      <c r="F21" s="24"/>
      <c r="G21" s="25"/>
      <c r="H21" s="16"/>
      <c r="I21" s="16"/>
      <c r="J21" s="16"/>
      <c r="K21" s="16"/>
      <c r="L21" s="16"/>
      <c r="M21" s="16"/>
      <c r="N21" s="17"/>
      <c r="O21" s="16"/>
      <c r="P21" s="16"/>
      <c r="Q21" s="16"/>
      <c r="R21" s="16"/>
      <c r="S21" s="16"/>
      <c r="T21" s="22"/>
      <c r="U21" s="20"/>
    </row>
    <row r="22" spans="1:21" x14ac:dyDescent="0.3">
      <c r="A22" s="117"/>
      <c r="B22" s="117"/>
      <c r="C22" s="117"/>
      <c r="D22" s="118"/>
      <c r="E22" s="24"/>
      <c r="F22" s="24"/>
      <c r="G22" s="25"/>
      <c r="H22" s="16"/>
      <c r="I22" s="16"/>
      <c r="J22" s="16"/>
      <c r="K22" s="16"/>
      <c r="L22" s="16"/>
      <c r="M22" s="16"/>
      <c r="N22" s="17"/>
      <c r="O22" s="16"/>
      <c r="P22" s="16"/>
      <c r="Q22" s="16"/>
      <c r="R22" s="121" t="s">
        <v>70</v>
      </c>
      <c r="S22" s="122" t="s">
        <v>71</v>
      </c>
      <c r="T22" s="122" t="s">
        <v>72</v>
      </c>
      <c r="U22" s="20"/>
    </row>
    <row r="23" spans="1:21" x14ac:dyDescent="0.3">
      <c r="A23" s="123"/>
      <c r="B23" s="123"/>
      <c r="C23" s="123"/>
      <c r="D23" s="124"/>
      <c r="E23" s="124"/>
      <c r="F23" s="124"/>
      <c r="G23" s="125" t="s">
        <v>73</v>
      </c>
      <c r="H23" s="119">
        <f>H11+H12+H13+H14</f>
        <v>133848.0000000007</v>
      </c>
      <c r="I23" s="119"/>
      <c r="J23" s="119"/>
      <c r="K23" s="119"/>
      <c r="L23" s="119"/>
      <c r="M23" s="119"/>
      <c r="N23" s="123"/>
      <c r="O23" s="126" t="s">
        <v>74</v>
      </c>
      <c r="P23" s="127">
        <v>133848</v>
      </c>
      <c r="Q23" s="119"/>
      <c r="R23" s="75" t="s">
        <v>75</v>
      </c>
      <c r="S23" s="128"/>
      <c r="T23" s="129"/>
      <c r="U23" s="123"/>
    </row>
    <row r="24" spans="1:21" x14ac:dyDescent="0.3">
      <c r="A24" s="130"/>
      <c r="B24" s="130"/>
      <c r="C24" s="130"/>
      <c r="D24" s="124"/>
      <c r="E24" s="124"/>
      <c r="F24" s="124"/>
      <c r="G24" s="125" t="s">
        <v>76</v>
      </c>
      <c r="H24" s="119">
        <f>L11+L12+L13+L14</f>
        <v>790749.60000000405</v>
      </c>
      <c r="I24" s="119"/>
      <c r="J24" s="119"/>
      <c r="K24" s="119"/>
      <c r="L24" s="119"/>
      <c r="M24" s="119"/>
      <c r="N24" s="131"/>
      <c r="O24" s="126" t="s">
        <v>77</v>
      </c>
      <c r="P24" s="127">
        <v>790748.16000000003</v>
      </c>
      <c r="Q24" s="119"/>
      <c r="R24" s="98">
        <f>M13+P25</f>
        <v>369765.59999999992</v>
      </c>
      <c r="S24" s="132"/>
      <c r="T24" s="98">
        <f>IF(S24&gt;0,R24-S24,0)</f>
        <v>0</v>
      </c>
      <c r="U24" s="117"/>
    </row>
    <row r="25" spans="1:21" x14ac:dyDescent="0.3">
      <c r="A25" s="133"/>
      <c r="B25" s="133"/>
      <c r="C25" s="133"/>
      <c r="D25" s="24"/>
      <c r="E25" s="24"/>
      <c r="F25" s="24"/>
      <c r="G25" s="25"/>
      <c r="H25" s="16"/>
      <c r="I25" s="16"/>
      <c r="J25" s="16"/>
      <c r="K25" s="16"/>
      <c r="L25" s="16"/>
      <c r="M25" s="16" t="s">
        <v>118</v>
      </c>
      <c r="N25" s="17"/>
      <c r="O25" s="16"/>
      <c r="P25" s="16">
        <v>-1.44</v>
      </c>
      <c r="Q25" s="16"/>
      <c r="R25" s="104" t="s">
        <v>78</v>
      </c>
      <c r="S25" s="128"/>
      <c r="T25" s="134"/>
      <c r="U25" s="117"/>
    </row>
    <row r="26" spans="1:21" x14ac:dyDescent="0.3">
      <c r="A26" s="20"/>
      <c r="B26" s="20"/>
      <c r="C26" s="20"/>
      <c r="D26" s="24"/>
      <c r="E26" s="24"/>
      <c r="F26" s="24"/>
      <c r="G26" s="25"/>
      <c r="H26" s="26"/>
      <c r="I26" s="26"/>
      <c r="J26" s="16"/>
      <c r="K26" s="16"/>
      <c r="L26" s="16"/>
      <c r="M26" s="16"/>
      <c r="N26" s="17"/>
      <c r="O26" s="16"/>
      <c r="P26" s="16"/>
      <c r="Q26" s="16"/>
      <c r="R26" s="111">
        <f>M11</f>
        <v>420982.56000000413</v>
      </c>
      <c r="S26" s="135"/>
      <c r="T26" s="111">
        <f>IF(S26&gt;0,R26-S26,0)</f>
        <v>0</v>
      </c>
      <c r="U26" s="117"/>
    </row>
    <row r="27" spans="1:21" x14ac:dyDescent="0.3">
      <c r="A27" s="20"/>
      <c r="B27" s="20"/>
      <c r="C27" s="20"/>
      <c r="D27" s="24" t="s">
        <v>79</v>
      </c>
      <c r="E27" s="24"/>
      <c r="F27" s="24"/>
      <c r="G27" s="25"/>
      <c r="H27" s="26"/>
      <c r="I27" s="26"/>
      <c r="J27" s="16"/>
      <c r="K27" s="16"/>
      <c r="L27" s="16"/>
      <c r="M27" s="16"/>
      <c r="N27" s="17"/>
      <c r="O27" s="16"/>
      <c r="P27" s="16"/>
      <c r="Q27" s="16"/>
      <c r="R27" s="104" t="s">
        <v>80</v>
      </c>
      <c r="S27" s="136"/>
      <c r="T27" s="134"/>
      <c r="U27" s="117"/>
    </row>
    <row r="28" spans="1:21" x14ac:dyDescent="0.3">
      <c r="A28" s="20"/>
      <c r="B28" s="20"/>
      <c r="C28" s="20"/>
      <c r="D28" s="24" t="s">
        <v>81</v>
      </c>
      <c r="E28" s="24"/>
      <c r="F28" s="24"/>
      <c r="G28" s="25"/>
      <c r="H28" s="26"/>
      <c r="I28" s="26"/>
      <c r="J28" s="16"/>
      <c r="K28" s="16"/>
      <c r="L28" s="16" t="s">
        <v>82</v>
      </c>
      <c r="M28" s="16"/>
      <c r="N28" s="17"/>
      <c r="O28" s="16"/>
      <c r="P28" s="16"/>
      <c r="Q28" s="16"/>
      <c r="R28" s="111">
        <f>R24+R26</f>
        <v>790748.16000000411</v>
      </c>
      <c r="S28" s="135"/>
      <c r="T28" s="111">
        <f>T24+T26</f>
        <v>0</v>
      </c>
      <c r="U28" s="117"/>
    </row>
  </sheetData>
  <mergeCells count="3">
    <mergeCell ref="B4:C4"/>
    <mergeCell ref="D4:E4"/>
    <mergeCell ref="D5:E5"/>
  </mergeCells>
  <pageMargins left="0.7" right="0.7" top="0.75" bottom="0.75" header="0.3" footer="0.3"/>
  <pageSetup paperSize="9" orientation="portrait" horizontalDpi="300" verticalDpi="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D2427-1ED4-47BA-9933-355AE633A574}">
  <sheetPr>
    <tabColor rgb="FF00FF00"/>
  </sheetPr>
  <dimension ref="A1:U28"/>
  <sheetViews>
    <sheetView showZeros="0" workbookViewId="0">
      <selection activeCell="M25" sqref="M25:P25"/>
    </sheetView>
  </sheetViews>
  <sheetFormatPr defaultRowHeight="14.4" x14ac:dyDescent="0.3"/>
  <cols>
    <col min="1" max="1" width="9.109375" customWidth="1"/>
    <col min="2" max="2" width="11.44140625" bestFit="1" customWidth="1"/>
    <col min="3" max="3" width="13.33203125" bestFit="1" customWidth="1"/>
    <col min="4" max="5" width="9.109375" customWidth="1"/>
    <col min="6" max="6" width="7.21875" bestFit="1" customWidth="1"/>
    <col min="7" max="7" width="6.5546875" customWidth="1"/>
    <col min="8" max="8" width="9.21875" bestFit="1" customWidth="1"/>
    <col min="9" max="9" width="7.88671875" bestFit="1" customWidth="1"/>
    <col min="10" max="11" width="5.33203125" bestFit="1" customWidth="1"/>
    <col min="12" max="12" width="11.21875" customWidth="1"/>
    <col min="13" max="13" width="11.6640625" bestFit="1" customWidth="1"/>
    <col min="14" max="14" width="6.44140625" bestFit="1" customWidth="1"/>
    <col min="15" max="15" width="7.88671875" customWidth="1"/>
    <col min="16" max="16" width="9.21875" bestFit="1" customWidth="1"/>
    <col min="17" max="17" width="8.77734375" bestFit="1" customWidth="1"/>
    <col min="18" max="19" width="10.5546875" bestFit="1" customWidth="1"/>
    <col min="20" max="20" width="10.109375" bestFit="1" customWidth="1"/>
    <col min="21" max="21" width="12.109375" bestFit="1" customWidth="1"/>
  </cols>
  <sheetData>
    <row r="1" spans="1:21" ht="15.6" x14ac:dyDescent="0.3">
      <c r="A1" s="1" t="s">
        <v>0</v>
      </c>
      <c r="B1" s="1"/>
      <c r="C1" s="1"/>
      <c r="D1" s="2"/>
      <c r="E1" s="2"/>
      <c r="F1" s="2"/>
      <c r="G1" s="1"/>
      <c r="H1" s="3"/>
      <c r="I1" s="3"/>
      <c r="J1" s="4"/>
      <c r="K1" s="4"/>
      <c r="L1" s="5"/>
      <c r="M1" s="5"/>
      <c r="N1" s="6"/>
      <c r="O1" s="7"/>
      <c r="P1" s="7"/>
      <c r="Q1" s="4"/>
      <c r="R1" s="4"/>
      <c r="S1" s="4"/>
      <c r="T1" s="8"/>
      <c r="U1" s="9"/>
    </row>
    <row r="2" spans="1:21" x14ac:dyDescent="0.3">
      <c r="A2" s="10" t="s">
        <v>1</v>
      </c>
      <c r="B2" s="11" t="s">
        <v>89</v>
      </c>
      <c r="C2" s="12" t="s">
        <v>3</v>
      </c>
      <c r="D2" s="13">
        <v>2022</v>
      </c>
      <c r="E2" s="14" t="s">
        <v>4</v>
      </c>
      <c r="F2" s="15">
        <v>25</v>
      </c>
      <c r="G2" s="16"/>
      <c r="H2" s="16"/>
      <c r="I2" s="16"/>
      <c r="J2" s="16"/>
      <c r="K2" s="16"/>
      <c r="L2" s="17"/>
      <c r="M2" s="16"/>
      <c r="N2" s="16"/>
      <c r="O2" s="18" t="s">
        <v>5</v>
      </c>
      <c r="P2" s="19">
        <v>30</v>
      </c>
      <c r="Q2" s="20"/>
      <c r="R2" s="20"/>
      <c r="S2" s="21"/>
      <c r="T2" s="22"/>
      <c r="U2" s="23"/>
    </row>
    <row r="3" spans="1:21" s="139" customFormat="1" ht="12" x14ac:dyDescent="0.25">
      <c r="A3" s="138" t="s">
        <v>85</v>
      </c>
      <c r="B3" s="20"/>
      <c r="C3" s="140">
        <f>Янв!C3</f>
        <v>5.93</v>
      </c>
      <c r="D3" s="24"/>
      <c r="E3" s="137" t="s">
        <v>86</v>
      </c>
      <c r="F3" s="24"/>
      <c r="G3" s="140">
        <f>Янв!G3</f>
        <v>4.1500000000000004</v>
      </c>
      <c r="H3" s="26"/>
      <c r="I3" s="26"/>
      <c r="J3" s="16"/>
      <c r="K3" s="16"/>
      <c r="L3" s="16"/>
      <c r="M3" s="16"/>
      <c r="N3" s="17"/>
      <c r="O3" s="16"/>
      <c r="P3" s="16"/>
      <c r="Q3" s="16"/>
      <c r="R3" s="16"/>
      <c r="S3" s="16"/>
      <c r="T3" s="22"/>
      <c r="U3" s="23"/>
    </row>
    <row r="4" spans="1:21" x14ac:dyDescent="0.3">
      <c r="A4" s="27" t="s">
        <v>6</v>
      </c>
      <c r="B4" s="199" t="s">
        <v>7</v>
      </c>
      <c r="C4" s="200"/>
      <c r="D4" s="205" t="s">
        <v>8</v>
      </c>
      <c r="E4" s="206"/>
      <c r="F4" s="28" t="s">
        <v>9</v>
      </c>
      <c r="G4" s="29" t="s">
        <v>10</v>
      </c>
      <c r="H4" s="30" t="s">
        <v>11</v>
      </c>
      <c r="I4" s="30" t="s">
        <v>12</v>
      </c>
      <c r="J4" s="31" t="s">
        <v>13</v>
      </c>
      <c r="K4" s="32" t="s">
        <v>14</v>
      </c>
      <c r="L4" s="33" t="s">
        <v>15</v>
      </c>
      <c r="M4" s="33" t="s">
        <v>16</v>
      </c>
      <c r="N4" s="34" t="s">
        <v>17</v>
      </c>
      <c r="O4" s="35" t="s">
        <v>18</v>
      </c>
      <c r="P4" s="35" t="s">
        <v>19</v>
      </c>
      <c r="Q4" s="35" t="s">
        <v>15</v>
      </c>
      <c r="R4" s="36" t="s">
        <v>20</v>
      </c>
      <c r="S4" s="37" t="s">
        <v>21</v>
      </c>
      <c r="T4" s="38" t="s">
        <v>22</v>
      </c>
      <c r="U4" s="23" t="s">
        <v>23</v>
      </c>
    </row>
    <row r="5" spans="1:21" x14ac:dyDescent="0.3">
      <c r="A5" s="39"/>
      <c r="B5" s="27" t="s">
        <v>24</v>
      </c>
      <c r="C5" s="27" t="s">
        <v>25</v>
      </c>
      <c r="D5" s="207" t="s">
        <v>26</v>
      </c>
      <c r="E5" s="208"/>
      <c r="F5" s="40"/>
      <c r="G5" s="41" t="s">
        <v>27</v>
      </c>
      <c r="H5" s="39" t="s">
        <v>28</v>
      </c>
      <c r="I5" s="39" t="s">
        <v>29</v>
      </c>
      <c r="J5" s="42" t="s">
        <v>30</v>
      </c>
      <c r="K5" s="43" t="s">
        <v>31</v>
      </c>
      <c r="L5" s="44" t="s">
        <v>32</v>
      </c>
      <c r="M5" s="44" t="s">
        <v>33</v>
      </c>
      <c r="N5" s="45" t="s">
        <v>34</v>
      </c>
      <c r="O5" s="46" t="s">
        <v>35</v>
      </c>
      <c r="P5" s="46" t="s">
        <v>36</v>
      </c>
      <c r="Q5" s="46" t="s">
        <v>37</v>
      </c>
      <c r="R5" s="47" t="s">
        <v>38</v>
      </c>
      <c r="S5" s="48" t="s">
        <v>39</v>
      </c>
      <c r="T5" s="38" t="s">
        <v>40</v>
      </c>
      <c r="U5" s="23" t="s">
        <v>41</v>
      </c>
    </row>
    <row r="6" spans="1:21" x14ac:dyDescent="0.3">
      <c r="A6" s="49"/>
      <c r="B6" s="49" t="s">
        <v>42</v>
      </c>
      <c r="C6" s="49" t="s">
        <v>42</v>
      </c>
      <c r="D6" s="50" t="s">
        <v>43</v>
      </c>
      <c r="E6" s="51" t="s">
        <v>44</v>
      </c>
      <c r="F6" s="52"/>
      <c r="G6" s="53" t="s">
        <v>45</v>
      </c>
      <c r="H6" s="54" t="s">
        <v>46</v>
      </c>
      <c r="I6" s="54" t="s">
        <v>47</v>
      </c>
      <c r="J6" s="55" t="s">
        <v>46</v>
      </c>
      <c r="K6" s="56"/>
      <c r="L6" s="57" t="s">
        <v>48</v>
      </c>
      <c r="M6" s="57" t="s">
        <v>48</v>
      </c>
      <c r="N6" s="58"/>
      <c r="O6" s="59" t="s">
        <v>46</v>
      </c>
      <c r="P6" s="59" t="s">
        <v>46</v>
      </c>
      <c r="Q6" s="59" t="s">
        <v>48</v>
      </c>
      <c r="R6" s="60" t="s">
        <v>49</v>
      </c>
      <c r="S6" s="60" t="s">
        <v>49</v>
      </c>
      <c r="T6" s="38" t="s">
        <v>34</v>
      </c>
      <c r="U6" s="23" t="s">
        <v>50</v>
      </c>
    </row>
    <row r="7" spans="1:21" x14ac:dyDescent="0.3">
      <c r="A7" s="61" t="s">
        <v>51</v>
      </c>
      <c r="B7" s="62" t="s">
        <v>52</v>
      </c>
      <c r="C7" s="63" t="s">
        <v>53</v>
      </c>
      <c r="D7" s="64">
        <f>Апр!E7</f>
        <v>75979.053</v>
      </c>
      <c r="E7" s="65">
        <v>75979.342999999993</v>
      </c>
      <c r="F7" s="66">
        <f t="shared" ref="F7:F15" si="0">IF(E7&gt;0,E7-D7,0)</f>
        <v>0.28999999999359716</v>
      </c>
      <c r="G7" s="67">
        <v>60</v>
      </c>
      <c r="H7" s="68">
        <f t="shared" ref="H7" si="1">F7*G7</f>
        <v>17.399999999615829</v>
      </c>
      <c r="I7" s="69"/>
      <c r="J7" s="70">
        <f>IF(G7&gt;0,$C$3,0)</f>
        <v>5.93</v>
      </c>
      <c r="K7" s="70">
        <f>IF(G7&gt;0,$G$3,0)</f>
        <v>4.1500000000000004</v>
      </c>
      <c r="L7" s="71">
        <f t="shared" ref="L7:L13" si="2">J7*(H7-I7)+I7*K7</f>
        <v>103.18199999772186</v>
      </c>
      <c r="M7" s="71">
        <f>L7+L8</f>
        <v>397166.73119999841</v>
      </c>
      <c r="N7" s="72">
        <v>8.4239417043940584E-2</v>
      </c>
      <c r="O7" s="73">
        <f>H7*N7</f>
        <v>1.4657658565322038</v>
      </c>
      <c r="P7" s="68">
        <f t="shared" ref="P7:P8" si="3">IF($O$19&gt;0,O7*$H$19/$O$19,0)</f>
        <v>1.0234806949144357</v>
      </c>
      <c r="Q7" s="16">
        <f>J7*P7</f>
        <v>6.0692405208426035</v>
      </c>
      <c r="R7" s="74">
        <f t="shared" ref="R7:R8" si="4">IF(P7&gt;0,L7+Q7,L7)</f>
        <v>109.25124051856446</v>
      </c>
      <c r="S7" s="91">
        <f t="shared" ref="S7" si="5">R7+R8</f>
        <v>420528.36809967912</v>
      </c>
      <c r="T7" s="22">
        <f>L7+Q7</f>
        <v>109.25124051856446</v>
      </c>
      <c r="U7" s="23">
        <f t="shared" ref="U7:U14" si="6">IF($P$2&gt;0,H7/$P$2,0)</f>
        <v>0.57999999998719431</v>
      </c>
    </row>
    <row r="8" spans="1:21" x14ac:dyDescent="0.3">
      <c r="A8" s="76"/>
      <c r="B8" s="77" t="s">
        <v>120</v>
      </c>
      <c r="C8" s="78" t="s">
        <v>119</v>
      </c>
      <c r="D8" s="79">
        <v>1</v>
      </c>
      <c r="E8" s="80">
        <v>1</v>
      </c>
      <c r="F8" s="81">
        <f t="shared" si="0"/>
        <v>0</v>
      </c>
      <c r="G8" s="82">
        <f>600/5</f>
        <v>120</v>
      </c>
      <c r="H8" s="194">
        <v>66958.440000000119</v>
      </c>
      <c r="I8" s="84"/>
      <c r="J8" s="85">
        <f t="shared" ref="J8:J16" si="7">IF(G8&gt;0,$C$3,0)</f>
        <v>5.93</v>
      </c>
      <c r="K8" s="135">
        <f t="shared" ref="K8:K16" si="8">IF(G8&gt;0,$G$3,0)</f>
        <v>4.1500000000000004</v>
      </c>
      <c r="L8" s="86">
        <f t="shared" si="2"/>
        <v>397063.54920000071</v>
      </c>
      <c r="M8" s="86"/>
      <c r="N8" s="87">
        <v>8.4239417043940584E-2</v>
      </c>
      <c r="O8" s="83">
        <f>H8*N8</f>
        <v>5640.5399517716833</v>
      </c>
      <c r="P8" s="83">
        <f t="shared" si="3"/>
        <v>3938.5442932815949</v>
      </c>
      <c r="Q8" s="88">
        <f>J8*P8</f>
        <v>23355.567659159857</v>
      </c>
      <c r="R8" s="89">
        <f t="shared" si="4"/>
        <v>420419.11685916054</v>
      </c>
      <c r="S8" s="90"/>
      <c r="T8" s="22"/>
      <c r="U8" s="23">
        <f t="shared" si="6"/>
        <v>2231.948000000004</v>
      </c>
    </row>
    <row r="9" spans="1:21" x14ac:dyDescent="0.3">
      <c r="A9" s="61" t="s">
        <v>54</v>
      </c>
      <c r="B9" s="62" t="s">
        <v>55</v>
      </c>
      <c r="C9" s="63" t="s">
        <v>56</v>
      </c>
      <c r="D9" s="64">
        <f>Апр!E9</f>
        <v>16158.4</v>
      </c>
      <c r="E9" s="65">
        <v>16805.5</v>
      </c>
      <c r="F9" s="66">
        <f t="shared" si="0"/>
        <v>647.10000000000036</v>
      </c>
      <c r="G9" s="67">
        <v>50</v>
      </c>
      <c r="H9" s="68">
        <f>F9*G9+F10*G10</f>
        <v>32355.000000000018</v>
      </c>
      <c r="I9" s="69"/>
      <c r="J9" s="70">
        <f t="shared" si="7"/>
        <v>5.93</v>
      </c>
      <c r="K9" s="70">
        <f t="shared" si="8"/>
        <v>4.1500000000000004</v>
      </c>
      <c r="L9" s="71">
        <f t="shared" si="2"/>
        <v>191865.15000000011</v>
      </c>
      <c r="M9" s="71">
        <f t="shared" ref="M9" si="9">L9+L10</f>
        <v>191865.15000000011</v>
      </c>
      <c r="N9" s="72">
        <v>8.4239417043940584E-2</v>
      </c>
      <c r="O9" s="73">
        <f>H9*N9</f>
        <v>2725.5663384566992</v>
      </c>
      <c r="P9" s="68">
        <f t="shared" ref="P9" si="10">IF($O$19&gt;0,O9*$H$19/$O$19,0)</f>
        <v>1903.1447060165356</v>
      </c>
      <c r="Q9" s="16">
        <f>J9*P9</f>
        <v>11285.648106678056</v>
      </c>
      <c r="R9" s="74">
        <f t="shared" ref="R9" si="11">IF(P9&gt;0,L9+Q9,L9)</f>
        <v>203150.79810667818</v>
      </c>
      <c r="S9" s="91">
        <f t="shared" ref="S9" si="12">R9+R10</f>
        <v>203150.79810667818</v>
      </c>
      <c r="T9" s="22">
        <f t="shared" ref="T9" si="13">L9+Q9</f>
        <v>203150.79810667818</v>
      </c>
      <c r="U9" s="23">
        <f t="shared" si="6"/>
        <v>1078.5000000000007</v>
      </c>
    </row>
    <row r="10" spans="1:21" x14ac:dyDescent="0.3">
      <c r="A10" s="92" t="s">
        <v>57</v>
      </c>
      <c r="B10" s="77"/>
      <c r="C10" s="78"/>
      <c r="D10" s="79">
        <f>Апр!E10</f>
        <v>0</v>
      </c>
      <c r="E10" s="80"/>
      <c r="F10" s="93"/>
      <c r="G10" s="82"/>
      <c r="H10" s="83"/>
      <c r="I10" s="84"/>
      <c r="J10" s="85">
        <f t="shared" si="7"/>
        <v>0</v>
      </c>
      <c r="K10" s="135">
        <f t="shared" si="8"/>
        <v>0</v>
      </c>
      <c r="L10" s="86">
        <f t="shared" si="2"/>
        <v>0</v>
      </c>
      <c r="M10" s="86"/>
      <c r="N10" s="87"/>
      <c r="O10" s="83"/>
      <c r="P10" s="83"/>
      <c r="Q10" s="88"/>
      <c r="R10" s="89"/>
      <c r="S10" s="90"/>
      <c r="T10" s="22"/>
      <c r="U10" s="23">
        <f t="shared" si="6"/>
        <v>0</v>
      </c>
    </row>
    <row r="11" spans="1:21" x14ac:dyDescent="0.3">
      <c r="A11" s="94" t="s">
        <v>58</v>
      </c>
      <c r="B11" s="62" t="s">
        <v>55</v>
      </c>
      <c r="C11" s="63" t="s">
        <v>59</v>
      </c>
      <c r="D11" s="64">
        <f>Апр!E11</f>
        <v>86200.6</v>
      </c>
      <c r="E11" s="95">
        <v>87610.1</v>
      </c>
      <c r="F11" s="66">
        <f t="shared" si="0"/>
        <v>1409.5</v>
      </c>
      <c r="G11" s="67">
        <v>60</v>
      </c>
      <c r="H11" s="68">
        <f t="shared" ref="H11:H15" si="14">F11*G11</f>
        <v>84570</v>
      </c>
      <c r="I11" s="69"/>
      <c r="J11" s="70">
        <f t="shared" si="7"/>
        <v>5.93</v>
      </c>
      <c r="K11" s="70">
        <f t="shared" si="8"/>
        <v>4.1500000000000004</v>
      </c>
      <c r="L11" s="71">
        <f t="shared" si="2"/>
        <v>501500.1</v>
      </c>
      <c r="M11" s="71">
        <f t="shared" ref="M11" si="15">L11+L12</f>
        <v>501500.1</v>
      </c>
      <c r="N11" s="72">
        <v>9.3867222073683532E-2</v>
      </c>
      <c r="O11" s="73">
        <f>H11*N11</f>
        <v>7938.3509707714165</v>
      </c>
      <c r="P11" s="68">
        <f t="shared" ref="P11:P14" si="16">IF($O$19&gt;0,O11*$H$19/$O$19,0)</f>
        <v>5543.0060209355888</v>
      </c>
      <c r="Q11" s="16">
        <f>J11*P11</f>
        <v>32870.025704148044</v>
      </c>
      <c r="R11" s="74">
        <f t="shared" ref="R11:R14" si="17">IF(P11&gt;0,L11+Q11,L11)</f>
        <v>534370.12570414797</v>
      </c>
      <c r="S11" s="91">
        <f t="shared" ref="S11" si="18">R11+R12</f>
        <v>534370.12570414797</v>
      </c>
      <c r="T11" s="22">
        <f t="shared" ref="T11:T14" si="19">L11+Q11</f>
        <v>534370.12570414797</v>
      </c>
      <c r="U11" s="23">
        <f t="shared" si="6"/>
        <v>2819</v>
      </c>
    </row>
    <row r="12" spans="1:21" x14ac:dyDescent="0.3">
      <c r="A12" s="76"/>
      <c r="B12" s="77" t="s">
        <v>55</v>
      </c>
      <c r="C12" s="78" t="s">
        <v>60</v>
      </c>
      <c r="D12" s="79">
        <f>Апр!E12</f>
        <v>3</v>
      </c>
      <c r="E12" s="80">
        <v>3</v>
      </c>
      <c r="F12" s="81">
        <f t="shared" si="0"/>
        <v>0</v>
      </c>
      <c r="G12" s="82">
        <f>400/5</f>
        <v>80</v>
      </c>
      <c r="H12" s="83">
        <f t="shared" si="14"/>
        <v>0</v>
      </c>
      <c r="I12" s="84"/>
      <c r="J12" s="85">
        <f t="shared" si="7"/>
        <v>5.93</v>
      </c>
      <c r="K12" s="135">
        <f t="shared" si="8"/>
        <v>4.1500000000000004</v>
      </c>
      <c r="L12" s="86">
        <f t="shared" si="2"/>
        <v>0</v>
      </c>
      <c r="M12" s="86"/>
      <c r="N12" s="87">
        <v>9.3867222073683532E-2</v>
      </c>
      <c r="O12" s="83">
        <f>H12*N12</f>
        <v>0</v>
      </c>
      <c r="P12" s="83">
        <f t="shared" si="16"/>
        <v>0</v>
      </c>
      <c r="Q12" s="88">
        <f>J12*P12</f>
        <v>0</v>
      </c>
      <c r="R12" s="89">
        <f t="shared" si="17"/>
        <v>0</v>
      </c>
      <c r="S12" s="90"/>
      <c r="T12" s="22">
        <f t="shared" si="19"/>
        <v>0</v>
      </c>
      <c r="U12" s="23">
        <f t="shared" si="6"/>
        <v>0</v>
      </c>
    </row>
    <row r="13" spans="1:21" x14ac:dyDescent="0.3">
      <c r="A13" s="94" t="s">
        <v>61</v>
      </c>
      <c r="B13" s="62" t="s">
        <v>55</v>
      </c>
      <c r="C13" s="63" t="s">
        <v>62</v>
      </c>
      <c r="D13" s="64">
        <f>Апр!E13</f>
        <v>7770.7</v>
      </c>
      <c r="E13" s="95">
        <v>7770.7</v>
      </c>
      <c r="F13" s="66">
        <f t="shared" si="0"/>
        <v>0</v>
      </c>
      <c r="G13" s="67">
        <v>40</v>
      </c>
      <c r="H13" s="68">
        <f t="shared" si="14"/>
        <v>0</v>
      </c>
      <c r="I13" s="96"/>
      <c r="J13" s="70">
        <f t="shared" si="7"/>
        <v>5.93</v>
      </c>
      <c r="K13" s="70">
        <f t="shared" si="8"/>
        <v>4.1500000000000004</v>
      </c>
      <c r="L13" s="71">
        <f t="shared" si="2"/>
        <v>0</v>
      </c>
      <c r="M13" s="71">
        <f t="shared" ref="M13" si="20">L13+L14</f>
        <v>366297.15999999974</v>
      </c>
      <c r="N13" s="72">
        <v>9.3867222073683532E-2</v>
      </c>
      <c r="O13" s="73">
        <f>H13*N13</f>
        <v>0</v>
      </c>
      <c r="P13" s="68">
        <f t="shared" si="16"/>
        <v>0</v>
      </c>
      <c r="Q13" s="16">
        <f>J13*P13</f>
        <v>0</v>
      </c>
      <c r="R13" s="74">
        <f t="shared" si="17"/>
        <v>0</v>
      </c>
      <c r="S13" s="91">
        <f t="shared" ref="S13" si="21">R13+R14</f>
        <v>391703.89808949659</v>
      </c>
      <c r="T13" s="22">
        <f t="shared" si="19"/>
        <v>0</v>
      </c>
      <c r="U13" s="23">
        <f t="shared" si="6"/>
        <v>0</v>
      </c>
    </row>
    <row r="14" spans="1:21" x14ac:dyDescent="0.3">
      <c r="A14" s="76"/>
      <c r="B14" s="77" t="s">
        <v>55</v>
      </c>
      <c r="C14" s="78" t="s">
        <v>63</v>
      </c>
      <c r="D14" s="79">
        <f>Апр!E14</f>
        <v>7395.2</v>
      </c>
      <c r="E14" s="80">
        <v>8212.2999999999993</v>
      </c>
      <c r="F14" s="81">
        <f t="shared" si="0"/>
        <v>817.09999999999945</v>
      </c>
      <c r="G14" s="82">
        <f>400/5</f>
        <v>80</v>
      </c>
      <c r="H14" s="83">
        <f t="shared" si="14"/>
        <v>65367.999999999956</v>
      </c>
      <c r="I14" s="84">
        <v>11986</v>
      </c>
      <c r="J14" s="85">
        <f t="shared" si="7"/>
        <v>5.93</v>
      </c>
      <c r="K14" s="135">
        <f t="shared" si="8"/>
        <v>4.1500000000000004</v>
      </c>
      <c r="L14" s="86">
        <f>J14*(H14-I14)+I14*K14</f>
        <v>366297.15999999974</v>
      </c>
      <c r="M14" s="86"/>
      <c r="N14" s="87">
        <v>9.3867222073683532E-2</v>
      </c>
      <c r="O14" s="83">
        <f>H14*N14</f>
        <v>6135.9125725125414</v>
      </c>
      <c r="P14" s="83">
        <f t="shared" si="16"/>
        <v>4284.4414990719788</v>
      </c>
      <c r="Q14" s="88">
        <f>J14*P14</f>
        <v>25406.738089496834</v>
      </c>
      <c r="R14" s="89">
        <f t="shared" si="17"/>
        <v>391703.89808949659</v>
      </c>
      <c r="S14" s="98"/>
      <c r="T14" s="22">
        <f t="shared" si="19"/>
        <v>391703.89808949659</v>
      </c>
      <c r="U14" s="23">
        <f t="shared" si="6"/>
        <v>2178.933333333332</v>
      </c>
    </row>
    <row r="15" spans="1:21" x14ac:dyDescent="0.3">
      <c r="A15" s="94" t="s">
        <v>64</v>
      </c>
      <c r="B15" s="62" t="s">
        <v>52</v>
      </c>
      <c r="C15" s="63" t="s">
        <v>65</v>
      </c>
      <c r="D15" s="99">
        <f>Апр!E15</f>
        <v>3448.328</v>
      </c>
      <c r="E15" s="100">
        <v>3624.9540000000002</v>
      </c>
      <c r="F15" s="101">
        <f t="shared" si="0"/>
        <v>176.6260000000002</v>
      </c>
      <c r="G15" s="102">
        <v>1500</v>
      </c>
      <c r="H15" s="68">
        <f t="shared" si="14"/>
        <v>264939.00000000029</v>
      </c>
      <c r="I15" s="69">
        <f>SUM(I7:I14)</f>
        <v>11986</v>
      </c>
      <c r="J15" s="70">
        <f t="shared" si="7"/>
        <v>5.93</v>
      </c>
      <c r="K15" s="70">
        <f t="shared" si="8"/>
        <v>4.1500000000000004</v>
      </c>
      <c r="L15" s="103">
        <f t="shared" ref="L15:L16" si="22">J15*(H15-I15)+I15*K15</f>
        <v>1549753.1900000016</v>
      </c>
      <c r="M15" s="103"/>
      <c r="N15" s="72"/>
      <c r="O15" s="73"/>
      <c r="P15" s="68"/>
      <c r="Q15" s="16"/>
      <c r="R15" s="103"/>
      <c r="S15" s="104"/>
      <c r="T15" s="22"/>
      <c r="U15" s="23"/>
    </row>
    <row r="16" spans="1:21" x14ac:dyDescent="0.3">
      <c r="A16" s="76" t="s">
        <v>66</v>
      </c>
      <c r="B16" s="77"/>
      <c r="C16" s="78"/>
      <c r="D16" s="105">
        <f>Апр!E16</f>
        <v>0</v>
      </c>
      <c r="E16" s="106"/>
      <c r="F16" s="107"/>
      <c r="G16" s="108"/>
      <c r="H16" s="83"/>
      <c r="I16" s="84"/>
      <c r="J16" s="85">
        <f t="shared" si="7"/>
        <v>0</v>
      </c>
      <c r="K16" s="135">
        <f t="shared" si="8"/>
        <v>0</v>
      </c>
      <c r="L16" s="109">
        <f t="shared" si="22"/>
        <v>0</v>
      </c>
      <c r="M16" s="109"/>
      <c r="N16" s="87"/>
      <c r="O16" s="83"/>
      <c r="P16" s="83"/>
      <c r="Q16" s="88"/>
      <c r="R16" s="110"/>
      <c r="S16" s="111"/>
      <c r="T16" s="22"/>
      <c r="U16" s="23"/>
    </row>
    <row r="17" spans="1:21" x14ac:dyDescent="0.3">
      <c r="A17" s="195" t="s">
        <v>121</v>
      </c>
      <c r="B17" s="20"/>
      <c r="C17" s="20"/>
      <c r="D17" s="24"/>
      <c r="E17" s="24"/>
      <c r="F17" s="24"/>
      <c r="G17" s="112"/>
      <c r="H17" s="26"/>
      <c r="I17" s="26"/>
      <c r="J17" s="16"/>
      <c r="K17" s="16"/>
      <c r="L17" s="113"/>
      <c r="M17" s="113"/>
      <c r="N17" s="17"/>
      <c r="O17" s="16"/>
      <c r="P17" s="16"/>
      <c r="Q17" s="16"/>
      <c r="R17" s="16"/>
      <c r="S17" s="16"/>
      <c r="T17" s="22"/>
      <c r="U17" s="23"/>
    </row>
    <row r="18" spans="1:21" x14ac:dyDescent="0.3">
      <c r="A18" s="114"/>
      <c r="B18" s="114"/>
      <c r="C18" s="114"/>
      <c r="D18" s="115"/>
      <c r="E18" s="24"/>
      <c r="F18" s="24"/>
      <c r="G18" s="116" t="s">
        <v>67</v>
      </c>
      <c r="H18" s="26">
        <f>SUM(H7:H14)</f>
        <v>249268.83999999968</v>
      </c>
      <c r="I18" s="26"/>
      <c r="J18" s="20" t="s">
        <v>46</v>
      </c>
      <c r="K18" s="20"/>
      <c r="L18" s="16"/>
      <c r="M18" s="16"/>
      <c r="N18" s="17"/>
      <c r="O18" s="16"/>
      <c r="P18" s="16"/>
      <c r="Q18" s="16"/>
      <c r="R18" s="16"/>
      <c r="S18" s="16"/>
      <c r="T18" s="22"/>
      <c r="U18" s="23"/>
    </row>
    <row r="19" spans="1:21" x14ac:dyDescent="0.3">
      <c r="A19" s="117"/>
      <c r="B19" s="117"/>
      <c r="C19" s="117"/>
      <c r="D19" s="118"/>
      <c r="E19" s="24"/>
      <c r="F19" s="24"/>
      <c r="G19" s="116" t="s">
        <v>68</v>
      </c>
      <c r="H19" s="26">
        <f>IF(H15&gt;0,H15-H18,0)</f>
        <v>15670.160000000615</v>
      </c>
      <c r="I19" s="26"/>
      <c r="J19" s="20" t="s">
        <v>46</v>
      </c>
      <c r="K19" s="20"/>
      <c r="L19" s="16"/>
      <c r="M19" s="16"/>
      <c r="N19" s="17"/>
      <c r="O19" s="26">
        <f>SUM(O7:O14)</f>
        <v>22441.835599368875</v>
      </c>
      <c r="P19" s="16">
        <f>SUM(P7:P14)</f>
        <v>15670.160000000611</v>
      </c>
      <c r="Q19" s="16">
        <f>SUM(Q7:Q16)</f>
        <v>92924.048800003642</v>
      </c>
      <c r="R19" s="119">
        <f>SUM(R7:R14)</f>
        <v>1549753.190000002</v>
      </c>
      <c r="S19" s="119"/>
      <c r="T19" s="120">
        <f>SUM(T7:T14)</f>
        <v>1129334.0731408412</v>
      </c>
      <c r="U19" s="20"/>
    </row>
    <row r="20" spans="1:21" x14ac:dyDescent="0.3">
      <c r="A20" s="117"/>
      <c r="B20" s="117"/>
      <c r="C20" s="117"/>
      <c r="D20" s="118"/>
      <c r="E20" s="24"/>
      <c r="F20" s="24"/>
      <c r="G20" s="116" t="s">
        <v>69</v>
      </c>
      <c r="H20" s="17">
        <f>IF(H15&gt;0,H19/H15,0)</f>
        <v>5.9146294052595492E-2</v>
      </c>
      <c r="I20" s="17"/>
      <c r="J20" s="16"/>
      <c r="K20" s="16"/>
      <c r="L20" s="16"/>
      <c r="M20" s="16"/>
      <c r="N20" s="17"/>
      <c r="O20" s="16"/>
      <c r="P20" s="16"/>
      <c r="Q20" s="16"/>
      <c r="R20" s="16"/>
      <c r="S20" s="16"/>
      <c r="T20" s="22"/>
      <c r="U20" s="20"/>
    </row>
    <row r="21" spans="1:21" x14ac:dyDescent="0.3">
      <c r="A21" s="117"/>
      <c r="B21" s="117"/>
      <c r="C21" s="117"/>
      <c r="D21" s="118"/>
      <c r="E21" s="24"/>
      <c r="F21" s="24"/>
      <c r="G21" s="25"/>
      <c r="H21" s="16"/>
      <c r="I21" s="16"/>
      <c r="J21" s="16"/>
      <c r="K21" s="16"/>
      <c r="L21" s="16"/>
      <c r="M21" s="16"/>
      <c r="N21" s="17"/>
      <c r="O21" s="16"/>
      <c r="P21" s="16"/>
      <c r="Q21" s="16"/>
      <c r="R21" s="16"/>
      <c r="S21" s="16"/>
      <c r="T21" s="22"/>
      <c r="U21" s="20"/>
    </row>
    <row r="22" spans="1:21" x14ac:dyDescent="0.3">
      <c r="A22" s="117"/>
      <c r="B22" s="117"/>
      <c r="C22" s="117"/>
      <c r="D22" s="118"/>
      <c r="E22" s="24"/>
      <c r="F22" s="24"/>
      <c r="G22" s="25"/>
      <c r="H22" s="16"/>
      <c r="I22" s="16"/>
      <c r="J22" s="16"/>
      <c r="K22" s="16"/>
      <c r="L22" s="16"/>
      <c r="M22" s="16"/>
      <c r="N22" s="17"/>
      <c r="O22" s="16"/>
      <c r="P22" s="16"/>
      <c r="Q22" s="16"/>
      <c r="R22" s="121" t="s">
        <v>70</v>
      </c>
      <c r="S22" s="122" t="s">
        <v>71</v>
      </c>
      <c r="T22" s="122" t="s">
        <v>72</v>
      </c>
      <c r="U22" s="20"/>
    </row>
    <row r="23" spans="1:21" x14ac:dyDescent="0.3">
      <c r="A23" s="123"/>
      <c r="B23" s="123"/>
      <c r="C23" s="123"/>
      <c r="D23" s="124"/>
      <c r="E23" s="124"/>
      <c r="F23" s="124"/>
      <c r="G23" s="125" t="s">
        <v>73</v>
      </c>
      <c r="H23" s="119">
        <f>H11+H12+H13+H14</f>
        <v>149937.99999999994</v>
      </c>
      <c r="I23" s="119"/>
      <c r="J23" s="119"/>
      <c r="K23" s="119"/>
      <c r="L23" s="119"/>
      <c r="M23" s="119"/>
      <c r="N23" s="123"/>
      <c r="O23" s="126" t="s">
        <v>74</v>
      </c>
      <c r="P23" s="127">
        <v>149938</v>
      </c>
      <c r="Q23" s="119"/>
      <c r="R23" s="75" t="s">
        <v>75</v>
      </c>
      <c r="S23" s="128"/>
      <c r="T23" s="129"/>
      <c r="U23" s="123"/>
    </row>
    <row r="24" spans="1:21" x14ac:dyDescent="0.3">
      <c r="A24" s="130"/>
      <c r="B24" s="130"/>
      <c r="C24" s="130"/>
      <c r="D24" s="124"/>
      <c r="E24" s="124"/>
      <c r="F24" s="124"/>
      <c r="G24" s="125" t="s">
        <v>76</v>
      </c>
      <c r="H24" s="119">
        <f>L11+L12+L13+L14</f>
        <v>867797.25999999978</v>
      </c>
      <c r="I24" s="119"/>
      <c r="J24" s="119"/>
      <c r="K24" s="119"/>
      <c r="L24" s="119"/>
      <c r="M24" s="119"/>
      <c r="N24" s="131"/>
      <c r="O24" s="126" t="s">
        <v>77</v>
      </c>
      <c r="P24" s="127">
        <v>867796.82</v>
      </c>
      <c r="Q24" s="119"/>
      <c r="R24" s="98">
        <f>M13</f>
        <v>366297.15999999974</v>
      </c>
      <c r="S24" s="132"/>
      <c r="T24" s="98">
        <f>IF(S24&gt;0,R24-S24,0)</f>
        <v>0</v>
      </c>
      <c r="U24" s="117"/>
    </row>
    <row r="25" spans="1:21" x14ac:dyDescent="0.3">
      <c r="A25" s="133"/>
      <c r="B25" s="133"/>
      <c r="C25" s="133"/>
      <c r="D25" s="24"/>
      <c r="E25" s="24"/>
      <c r="F25" s="24"/>
      <c r="G25" s="25"/>
      <c r="H25" s="16"/>
      <c r="I25" s="16"/>
      <c r="J25" s="16"/>
      <c r="K25" s="16"/>
      <c r="L25" s="16"/>
      <c r="M25" s="16" t="s">
        <v>118</v>
      </c>
      <c r="N25" s="17"/>
      <c r="O25" s="16"/>
      <c r="P25" s="16">
        <v>-0.44</v>
      </c>
      <c r="Q25" s="16"/>
      <c r="R25" s="104" t="s">
        <v>78</v>
      </c>
      <c r="S25" s="128"/>
      <c r="T25" s="134"/>
      <c r="U25" s="117"/>
    </row>
    <row r="26" spans="1:21" x14ac:dyDescent="0.3">
      <c r="A26" s="20"/>
      <c r="B26" s="20"/>
      <c r="C26" s="20"/>
      <c r="D26" s="24"/>
      <c r="E26" s="24"/>
      <c r="F26" s="24"/>
      <c r="G26" s="25"/>
      <c r="H26" s="26"/>
      <c r="I26" s="26"/>
      <c r="J26" s="16"/>
      <c r="K26" s="16"/>
      <c r="L26" s="16"/>
      <c r="M26" s="16"/>
      <c r="N26" s="17"/>
      <c r="O26" s="16"/>
      <c r="P26" s="16"/>
      <c r="Q26" s="16"/>
      <c r="R26" s="111">
        <f>M11</f>
        <v>501500.1</v>
      </c>
      <c r="S26" s="135"/>
      <c r="T26" s="111">
        <f>IF(S26&gt;0,R26-S26,0)</f>
        <v>0</v>
      </c>
      <c r="U26" s="117"/>
    </row>
    <row r="27" spans="1:21" x14ac:dyDescent="0.3">
      <c r="A27" s="20"/>
      <c r="B27" s="20"/>
      <c r="C27" s="20"/>
      <c r="D27" s="24" t="s">
        <v>79</v>
      </c>
      <c r="E27" s="24"/>
      <c r="F27" s="24"/>
      <c r="G27" s="25"/>
      <c r="H27" s="26"/>
      <c r="I27" s="26"/>
      <c r="J27" s="16"/>
      <c r="K27" s="16"/>
      <c r="L27" s="16"/>
      <c r="M27" s="16"/>
      <c r="N27" s="17"/>
      <c r="O27" s="16"/>
      <c r="P27" s="16"/>
      <c r="Q27" s="16"/>
      <c r="R27" s="104" t="s">
        <v>80</v>
      </c>
      <c r="S27" s="136"/>
      <c r="T27" s="134"/>
      <c r="U27" s="117"/>
    </row>
    <row r="28" spans="1:21" x14ac:dyDescent="0.3">
      <c r="A28" s="20"/>
      <c r="B28" s="20"/>
      <c r="C28" s="20"/>
      <c r="D28" s="24" t="s">
        <v>81</v>
      </c>
      <c r="E28" s="24"/>
      <c r="F28" s="24"/>
      <c r="G28" s="25"/>
      <c r="H28" s="26"/>
      <c r="I28" s="26"/>
      <c r="J28" s="16"/>
      <c r="K28" s="16"/>
      <c r="L28" s="16" t="s">
        <v>82</v>
      </c>
      <c r="M28" s="16"/>
      <c r="N28" s="17"/>
      <c r="O28" s="16"/>
      <c r="P28" s="16"/>
      <c r="Q28" s="16"/>
      <c r="R28" s="111">
        <f>R24+R26</f>
        <v>867797.25999999978</v>
      </c>
      <c r="S28" s="135"/>
      <c r="T28" s="111">
        <f>T24+T26</f>
        <v>0</v>
      </c>
      <c r="U28" s="117"/>
    </row>
  </sheetData>
  <mergeCells count="3">
    <mergeCell ref="B4:C4"/>
    <mergeCell ref="D4:E4"/>
    <mergeCell ref="D5:E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9EDB0-FAFD-4FA0-BB89-F9C0104326B9}">
  <dimension ref="A1:U28"/>
  <sheetViews>
    <sheetView showZeros="0" workbookViewId="0">
      <selection activeCell="E20" sqref="E20"/>
    </sheetView>
  </sheetViews>
  <sheetFormatPr defaultRowHeight="14.4" x14ac:dyDescent="0.3"/>
  <cols>
    <col min="1" max="1" width="9.109375" customWidth="1"/>
    <col min="2" max="2" width="11.44140625" bestFit="1" customWidth="1"/>
    <col min="3" max="3" width="13.33203125" bestFit="1" customWidth="1"/>
    <col min="4" max="5" width="9.109375" customWidth="1"/>
    <col min="6" max="6" width="7.21875" bestFit="1" customWidth="1"/>
    <col min="7" max="7" width="6.5546875" customWidth="1"/>
    <col min="8" max="8" width="9.21875" bestFit="1" customWidth="1"/>
    <col min="9" max="9" width="7.88671875" bestFit="1" customWidth="1"/>
    <col min="10" max="11" width="5.33203125" bestFit="1" customWidth="1"/>
    <col min="12" max="12" width="11.21875" customWidth="1"/>
    <col min="13" max="13" width="11.6640625" bestFit="1" customWidth="1"/>
    <col min="14" max="14" width="6.44140625" bestFit="1" customWidth="1"/>
    <col min="15" max="15" width="7.88671875" customWidth="1"/>
    <col min="16" max="16" width="9.21875" bestFit="1" customWidth="1"/>
    <col min="17" max="17" width="8.77734375" bestFit="1" customWidth="1"/>
    <col min="18" max="19" width="10.5546875" bestFit="1" customWidth="1"/>
    <col min="20" max="20" width="10.109375" bestFit="1" customWidth="1"/>
    <col min="21" max="21" width="12.109375" bestFit="1" customWidth="1"/>
  </cols>
  <sheetData>
    <row r="1" spans="1:21" ht="15.6" x14ac:dyDescent="0.3">
      <c r="A1" s="1" t="s">
        <v>0</v>
      </c>
      <c r="B1" s="1"/>
      <c r="C1" s="1"/>
      <c r="D1" s="2"/>
      <c r="E1" s="2"/>
      <c r="F1" s="2"/>
      <c r="G1" s="1"/>
      <c r="H1" s="3"/>
      <c r="I1" s="3"/>
      <c r="J1" s="4"/>
      <c r="K1" s="4"/>
      <c r="L1" s="5"/>
      <c r="M1" s="5"/>
      <c r="N1" s="6"/>
      <c r="O1" s="7"/>
      <c r="P1" s="7"/>
      <c r="Q1" s="4"/>
      <c r="R1" s="4"/>
      <c r="S1" s="4"/>
      <c r="T1" s="8"/>
      <c r="U1" s="9"/>
    </row>
    <row r="2" spans="1:21" x14ac:dyDescent="0.3">
      <c r="A2" s="10" t="s">
        <v>1</v>
      </c>
      <c r="B2" s="11" t="s">
        <v>89</v>
      </c>
      <c r="C2" s="12" t="s">
        <v>3</v>
      </c>
      <c r="D2" s="13">
        <v>2022</v>
      </c>
      <c r="E2" s="14" t="s">
        <v>4</v>
      </c>
      <c r="F2" s="15">
        <v>25</v>
      </c>
      <c r="G2" s="16"/>
      <c r="H2" s="16"/>
      <c r="I2" s="16"/>
      <c r="J2" s="16"/>
      <c r="K2" s="16"/>
      <c r="L2" s="17"/>
      <c r="M2" s="16"/>
      <c r="N2" s="16"/>
      <c r="O2" s="18" t="s">
        <v>5</v>
      </c>
      <c r="P2" s="19">
        <v>30</v>
      </c>
      <c r="Q2" s="20"/>
      <c r="R2" s="20"/>
      <c r="S2" s="21"/>
      <c r="T2" s="22"/>
      <c r="U2" s="23"/>
    </row>
    <row r="3" spans="1:21" s="139" customFormat="1" ht="12" x14ac:dyDescent="0.25">
      <c r="A3" s="138" t="s">
        <v>85</v>
      </c>
      <c r="B3" s="20"/>
      <c r="C3" s="140">
        <f>Янв!C3</f>
        <v>5.93</v>
      </c>
      <c r="D3" s="24"/>
      <c r="E3" s="137" t="s">
        <v>86</v>
      </c>
      <c r="F3" s="24"/>
      <c r="G3" s="140">
        <f>Янв!G3</f>
        <v>4.1500000000000004</v>
      </c>
      <c r="H3" s="26"/>
      <c r="I3" s="26"/>
      <c r="J3" s="16"/>
      <c r="K3" s="16"/>
      <c r="L3" s="16"/>
      <c r="M3" s="16"/>
      <c r="N3" s="17"/>
      <c r="O3" s="16"/>
      <c r="P3" s="16"/>
      <c r="Q3" s="16"/>
      <c r="R3" s="16"/>
      <c r="S3" s="16"/>
      <c r="T3" s="22"/>
      <c r="U3" s="23"/>
    </row>
    <row r="4" spans="1:21" x14ac:dyDescent="0.3">
      <c r="A4" s="27" t="s">
        <v>6</v>
      </c>
      <c r="B4" s="199" t="s">
        <v>7</v>
      </c>
      <c r="C4" s="200"/>
      <c r="D4" s="205" t="s">
        <v>8</v>
      </c>
      <c r="E4" s="206"/>
      <c r="F4" s="28" t="s">
        <v>9</v>
      </c>
      <c r="G4" s="29" t="s">
        <v>10</v>
      </c>
      <c r="H4" s="30" t="s">
        <v>11</v>
      </c>
      <c r="I4" s="30" t="s">
        <v>12</v>
      </c>
      <c r="J4" s="31" t="s">
        <v>13</v>
      </c>
      <c r="K4" s="32" t="s">
        <v>14</v>
      </c>
      <c r="L4" s="33" t="s">
        <v>15</v>
      </c>
      <c r="M4" s="33" t="s">
        <v>16</v>
      </c>
      <c r="N4" s="34" t="s">
        <v>17</v>
      </c>
      <c r="O4" s="35" t="s">
        <v>18</v>
      </c>
      <c r="P4" s="35" t="s">
        <v>19</v>
      </c>
      <c r="Q4" s="35" t="s">
        <v>15</v>
      </c>
      <c r="R4" s="36" t="s">
        <v>20</v>
      </c>
      <c r="S4" s="37" t="s">
        <v>21</v>
      </c>
      <c r="T4" s="38" t="s">
        <v>22</v>
      </c>
      <c r="U4" s="23" t="s">
        <v>23</v>
      </c>
    </row>
    <row r="5" spans="1:21" x14ac:dyDescent="0.3">
      <c r="A5" s="39"/>
      <c r="B5" s="27" t="s">
        <v>24</v>
      </c>
      <c r="C5" s="27" t="s">
        <v>25</v>
      </c>
      <c r="D5" s="207" t="s">
        <v>26</v>
      </c>
      <c r="E5" s="208"/>
      <c r="F5" s="40"/>
      <c r="G5" s="41" t="s">
        <v>27</v>
      </c>
      <c r="H5" s="39" t="s">
        <v>28</v>
      </c>
      <c r="I5" s="39" t="s">
        <v>29</v>
      </c>
      <c r="J5" s="42" t="s">
        <v>30</v>
      </c>
      <c r="K5" s="43" t="s">
        <v>31</v>
      </c>
      <c r="L5" s="44" t="s">
        <v>32</v>
      </c>
      <c r="M5" s="44" t="s">
        <v>33</v>
      </c>
      <c r="N5" s="45" t="s">
        <v>34</v>
      </c>
      <c r="O5" s="46" t="s">
        <v>35</v>
      </c>
      <c r="P5" s="46" t="s">
        <v>36</v>
      </c>
      <c r="Q5" s="46" t="s">
        <v>37</v>
      </c>
      <c r="R5" s="47" t="s">
        <v>38</v>
      </c>
      <c r="S5" s="48" t="s">
        <v>39</v>
      </c>
      <c r="T5" s="38" t="s">
        <v>40</v>
      </c>
      <c r="U5" s="23" t="s">
        <v>41</v>
      </c>
    </row>
    <row r="6" spans="1:21" x14ac:dyDescent="0.3">
      <c r="A6" s="49"/>
      <c r="B6" s="49" t="s">
        <v>42</v>
      </c>
      <c r="C6" s="49" t="s">
        <v>42</v>
      </c>
      <c r="D6" s="50" t="s">
        <v>43</v>
      </c>
      <c r="E6" s="51" t="s">
        <v>44</v>
      </c>
      <c r="F6" s="52"/>
      <c r="G6" s="53" t="s">
        <v>45</v>
      </c>
      <c r="H6" s="54" t="s">
        <v>46</v>
      </c>
      <c r="I6" s="54" t="s">
        <v>47</v>
      </c>
      <c r="J6" s="55" t="s">
        <v>46</v>
      </c>
      <c r="K6" s="56"/>
      <c r="L6" s="57" t="s">
        <v>48</v>
      </c>
      <c r="M6" s="57" t="s">
        <v>48</v>
      </c>
      <c r="N6" s="58"/>
      <c r="O6" s="59" t="s">
        <v>46</v>
      </c>
      <c r="P6" s="59" t="s">
        <v>46</v>
      </c>
      <c r="Q6" s="59" t="s">
        <v>48</v>
      </c>
      <c r="R6" s="60" t="s">
        <v>49</v>
      </c>
      <c r="S6" s="60" t="s">
        <v>49</v>
      </c>
      <c r="T6" s="38" t="s">
        <v>34</v>
      </c>
      <c r="U6" s="23" t="s">
        <v>50</v>
      </c>
    </row>
    <row r="7" spans="1:21" x14ac:dyDescent="0.3">
      <c r="A7" s="61" t="s">
        <v>51</v>
      </c>
      <c r="B7" s="62" t="s">
        <v>52</v>
      </c>
      <c r="C7" s="63" t="s">
        <v>53</v>
      </c>
      <c r="D7" s="64">
        <f>Апр!E7</f>
        <v>75979.053</v>
      </c>
      <c r="E7" s="65">
        <v>75979.34</v>
      </c>
      <c r="F7" s="66">
        <f t="shared" ref="F7:F15" si="0">IF(E7&gt;0,E7-D7,0)</f>
        <v>0.28699999999662396</v>
      </c>
      <c r="G7" s="67">
        <v>60</v>
      </c>
      <c r="H7" s="68">
        <f t="shared" ref="H7:H8" si="1">F7*G7</f>
        <v>17.219999999797437</v>
      </c>
      <c r="I7" s="157"/>
      <c r="J7" s="70">
        <f>IF(G7&gt;0,$C$3,0)</f>
        <v>5.93</v>
      </c>
      <c r="K7" s="70">
        <f>IF(G7&gt;0,$G$3,0)</f>
        <v>4.1500000000000004</v>
      </c>
      <c r="L7" s="71">
        <f t="shared" ref="L7:L13" si="2">J7*(H7-I7)+I7*K7</f>
        <v>102.11459999879879</v>
      </c>
      <c r="M7" s="71">
        <f>L7+L8</f>
        <v>474383.51459999877</v>
      </c>
      <c r="N7" s="72">
        <v>8.4239417043940584E-2</v>
      </c>
      <c r="O7" s="73">
        <f>H7*N7</f>
        <v>1.4506027614795931</v>
      </c>
      <c r="P7" s="68">
        <f t="shared" ref="P7:P9" si="3">IF($O$19&gt;0,O7*$H$19/$O$19,0)</f>
        <v>0.16323414523055044</v>
      </c>
      <c r="Q7" s="16">
        <f>J7*P7</f>
        <v>0.96797848121716401</v>
      </c>
      <c r="R7" s="74">
        <f t="shared" ref="R7:R9" si="4">IF(P7&gt;0,L7+Q7,L7)</f>
        <v>103.08257848001595</v>
      </c>
      <c r="S7" s="91">
        <f t="shared" ref="S7" si="5">R7+R8</f>
        <v>478880.35475784465</v>
      </c>
      <c r="T7" s="22">
        <f>L7+Q7</f>
        <v>103.08257848001595</v>
      </c>
      <c r="U7" s="23">
        <f t="shared" ref="U7:U14" si="6">IF($P$2&gt;0,H7/$P$2,0)</f>
        <v>0.57399999999324791</v>
      </c>
    </row>
    <row r="8" spans="1:21" x14ac:dyDescent="0.3">
      <c r="A8" s="76"/>
      <c r="B8" s="77" t="s">
        <v>120</v>
      </c>
      <c r="C8" s="78" t="s">
        <v>119</v>
      </c>
      <c r="D8" s="79">
        <v>1</v>
      </c>
      <c r="E8" s="80">
        <v>667.5</v>
      </c>
      <c r="F8" s="81">
        <f t="shared" si="0"/>
        <v>666.5</v>
      </c>
      <c r="G8" s="82">
        <f>600/5</f>
        <v>120</v>
      </c>
      <c r="H8" s="83">
        <f t="shared" si="1"/>
        <v>79980</v>
      </c>
      <c r="I8" s="158"/>
      <c r="J8" s="85">
        <f t="shared" ref="J8:J16" si="7">IF(G8&gt;0,$C$3,0)</f>
        <v>5.93</v>
      </c>
      <c r="K8" s="135">
        <f t="shared" ref="K8:K16" si="8">IF(G8&gt;0,$G$3,0)</f>
        <v>4.1500000000000004</v>
      </c>
      <c r="L8" s="86">
        <f t="shared" si="2"/>
        <v>474281.39999999997</v>
      </c>
      <c r="M8" s="86"/>
      <c r="N8" s="87">
        <v>8.4239417043940584E-2</v>
      </c>
      <c r="O8" s="83">
        <f>H8*N8</f>
        <v>6737.4685751743682</v>
      </c>
      <c r="P8" s="83">
        <f t="shared" si="3"/>
        <v>758.15719719471531</v>
      </c>
      <c r="Q8" s="88">
        <f>J8*P8</f>
        <v>4495.8721793646619</v>
      </c>
      <c r="R8" s="89">
        <f t="shared" si="4"/>
        <v>478777.27217936463</v>
      </c>
      <c r="S8" s="90"/>
      <c r="T8" s="22"/>
      <c r="U8" s="23">
        <f t="shared" si="6"/>
        <v>2666</v>
      </c>
    </row>
    <row r="9" spans="1:21" x14ac:dyDescent="0.3">
      <c r="A9" s="61" t="s">
        <v>54</v>
      </c>
      <c r="B9" s="62" t="s">
        <v>55</v>
      </c>
      <c r="C9" s="63" t="s">
        <v>56</v>
      </c>
      <c r="D9" s="64">
        <f>Апр!E9</f>
        <v>16158.4</v>
      </c>
      <c r="E9" s="65">
        <v>16805.5</v>
      </c>
      <c r="F9" s="66">
        <f t="shared" si="0"/>
        <v>647.10000000000036</v>
      </c>
      <c r="G9" s="67">
        <v>50</v>
      </c>
      <c r="H9" s="68">
        <f>F9*G9+F10*G10</f>
        <v>32355.000000000018</v>
      </c>
      <c r="I9" s="157"/>
      <c r="J9" s="70">
        <f t="shared" si="7"/>
        <v>5.93</v>
      </c>
      <c r="K9" s="70">
        <f t="shared" si="8"/>
        <v>4.1500000000000004</v>
      </c>
      <c r="L9" s="71">
        <f t="shared" si="2"/>
        <v>191865.15000000011</v>
      </c>
      <c r="M9" s="71">
        <f t="shared" ref="M9" si="9">L9+L10</f>
        <v>191865.15000000011</v>
      </c>
      <c r="N9" s="72">
        <v>8.4239417043940584E-2</v>
      </c>
      <c r="O9" s="73">
        <f>H9*N9</f>
        <v>2725.5663384566992</v>
      </c>
      <c r="P9" s="68">
        <f t="shared" si="3"/>
        <v>306.70387740979032</v>
      </c>
      <c r="Q9" s="16">
        <f>J9*P9</f>
        <v>1818.7539930400565</v>
      </c>
      <c r="R9" s="74">
        <f t="shared" si="4"/>
        <v>193683.90399304018</v>
      </c>
      <c r="S9" s="91">
        <f t="shared" ref="S9" si="10">R9+R10</f>
        <v>193683.90399304018</v>
      </c>
      <c r="T9" s="22">
        <f t="shared" ref="T9" si="11">L9+Q9</f>
        <v>193683.90399304018</v>
      </c>
      <c r="U9" s="23">
        <f t="shared" si="6"/>
        <v>1078.5000000000007</v>
      </c>
    </row>
    <row r="10" spans="1:21" x14ac:dyDescent="0.3">
      <c r="A10" s="92" t="s">
        <v>57</v>
      </c>
      <c r="B10" s="77"/>
      <c r="C10" s="78"/>
      <c r="D10" s="79">
        <f>Апр!E10</f>
        <v>0</v>
      </c>
      <c r="E10" s="80"/>
      <c r="F10" s="93"/>
      <c r="G10" s="82"/>
      <c r="H10" s="83"/>
      <c r="I10" s="158"/>
      <c r="J10" s="85">
        <f t="shared" si="7"/>
        <v>0</v>
      </c>
      <c r="K10" s="135">
        <f t="shared" si="8"/>
        <v>0</v>
      </c>
      <c r="L10" s="86">
        <f t="shared" si="2"/>
        <v>0</v>
      </c>
      <c r="M10" s="86"/>
      <c r="N10" s="87"/>
      <c r="O10" s="83"/>
      <c r="P10" s="83"/>
      <c r="Q10" s="88"/>
      <c r="R10" s="89"/>
      <c r="S10" s="90"/>
      <c r="T10" s="22"/>
      <c r="U10" s="23">
        <f t="shared" si="6"/>
        <v>0</v>
      </c>
    </row>
    <row r="11" spans="1:21" x14ac:dyDescent="0.3">
      <c r="A11" s="94" t="s">
        <v>58</v>
      </c>
      <c r="B11" s="62" t="s">
        <v>55</v>
      </c>
      <c r="C11" s="63" t="s">
        <v>59</v>
      </c>
      <c r="D11" s="64">
        <f>Апр!E11</f>
        <v>86200.6</v>
      </c>
      <c r="E11" s="95">
        <v>87610.1</v>
      </c>
      <c r="F11" s="66">
        <f t="shared" si="0"/>
        <v>1409.5</v>
      </c>
      <c r="G11" s="67">
        <v>60</v>
      </c>
      <c r="H11" s="68">
        <f t="shared" ref="H11:H15" si="12">F11*G11</f>
        <v>84570</v>
      </c>
      <c r="I11" s="157"/>
      <c r="J11" s="70">
        <f t="shared" si="7"/>
        <v>5.93</v>
      </c>
      <c r="K11" s="70">
        <f t="shared" si="8"/>
        <v>4.1500000000000004</v>
      </c>
      <c r="L11" s="71">
        <f t="shared" si="2"/>
        <v>501500.1</v>
      </c>
      <c r="M11" s="71">
        <f t="shared" ref="M11" si="13">L11+L12</f>
        <v>501500.1</v>
      </c>
      <c r="N11" s="72">
        <v>9.3867222073683532E-2</v>
      </c>
      <c r="O11" s="73">
        <f>H11*N11</f>
        <v>7938.3509707714165</v>
      </c>
      <c r="P11" s="68">
        <f t="shared" ref="P11:P14" si="14">IF($O$19&gt;0,O11*$H$19/$O$19,0)</f>
        <v>893.29068554390153</v>
      </c>
      <c r="Q11" s="16">
        <f>J11*P11</f>
        <v>5297.2137652753354</v>
      </c>
      <c r="R11" s="74">
        <f t="shared" ref="R11:R14" si="15">IF(P11&gt;0,L11+Q11,L11)</f>
        <v>506797.31376527529</v>
      </c>
      <c r="S11" s="91">
        <f t="shared" ref="S11" si="16">R11+R12</f>
        <v>506797.31376527529</v>
      </c>
      <c r="T11" s="22">
        <f t="shared" ref="T11:T14" si="17">L11+Q11</f>
        <v>506797.31376527529</v>
      </c>
      <c r="U11" s="23">
        <f t="shared" si="6"/>
        <v>2819</v>
      </c>
    </row>
    <row r="12" spans="1:21" x14ac:dyDescent="0.3">
      <c r="A12" s="76"/>
      <c r="B12" s="77" t="s">
        <v>55</v>
      </c>
      <c r="C12" s="78" t="s">
        <v>60</v>
      </c>
      <c r="D12" s="79">
        <f>Апр!E12</f>
        <v>3</v>
      </c>
      <c r="E12" s="80">
        <v>3</v>
      </c>
      <c r="F12" s="81">
        <f t="shared" si="0"/>
        <v>0</v>
      </c>
      <c r="G12" s="82">
        <f>400/5</f>
        <v>80</v>
      </c>
      <c r="H12" s="83">
        <f t="shared" si="12"/>
        <v>0</v>
      </c>
      <c r="I12" s="158"/>
      <c r="J12" s="85">
        <f t="shared" si="7"/>
        <v>5.93</v>
      </c>
      <c r="K12" s="135">
        <f t="shared" si="8"/>
        <v>4.1500000000000004</v>
      </c>
      <c r="L12" s="86">
        <f t="shared" si="2"/>
        <v>0</v>
      </c>
      <c r="M12" s="86"/>
      <c r="N12" s="87">
        <v>9.3867222073683532E-2</v>
      </c>
      <c r="O12" s="83">
        <f>H12*N12</f>
        <v>0</v>
      </c>
      <c r="P12" s="83">
        <f t="shared" si="14"/>
        <v>0</v>
      </c>
      <c r="Q12" s="88">
        <f>J12*P12</f>
        <v>0</v>
      </c>
      <c r="R12" s="89">
        <f t="shared" si="15"/>
        <v>0</v>
      </c>
      <c r="S12" s="90"/>
      <c r="T12" s="22">
        <f t="shared" si="17"/>
        <v>0</v>
      </c>
      <c r="U12" s="23">
        <f t="shared" si="6"/>
        <v>0</v>
      </c>
    </row>
    <row r="13" spans="1:21" x14ac:dyDescent="0.3">
      <c r="A13" s="94" t="s">
        <v>61</v>
      </c>
      <c r="B13" s="62" t="s">
        <v>55</v>
      </c>
      <c r="C13" s="63" t="s">
        <v>62</v>
      </c>
      <c r="D13" s="64">
        <f>Апр!E13</f>
        <v>7770.7</v>
      </c>
      <c r="E13" s="95">
        <v>7770.7</v>
      </c>
      <c r="F13" s="66">
        <f t="shared" si="0"/>
        <v>0</v>
      </c>
      <c r="G13" s="67">
        <v>40</v>
      </c>
      <c r="H13" s="68">
        <f t="shared" si="12"/>
        <v>0</v>
      </c>
      <c r="I13" s="96"/>
      <c r="J13" s="70">
        <f t="shared" si="7"/>
        <v>5.93</v>
      </c>
      <c r="K13" s="70">
        <f t="shared" si="8"/>
        <v>4.1500000000000004</v>
      </c>
      <c r="L13" s="71">
        <f t="shared" si="2"/>
        <v>0</v>
      </c>
      <c r="M13" s="71">
        <f t="shared" ref="M13" si="18">L13+L14</f>
        <v>387632.2399999997</v>
      </c>
      <c r="N13" s="72">
        <v>9.3867222073683532E-2</v>
      </c>
      <c r="O13" s="73">
        <f>H13*N13</f>
        <v>0</v>
      </c>
      <c r="P13" s="68">
        <f t="shared" si="14"/>
        <v>0</v>
      </c>
      <c r="Q13" s="16">
        <f>J13*P13</f>
        <v>0</v>
      </c>
      <c r="R13" s="74">
        <f t="shared" si="15"/>
        <v>0</v>
      </c>
      <c r="S13" s="91">
        <f t="shared" ref="S13" si="19">R13+R14</f>
        <v>391726.69748384168</v>
      </c>
      <c r="T13" s="22">
        <f t="shared" si="17"/>
        <v>0</v>
      </c>
      <c r="U13" s="23">
        <f t="shared" si="6"/>
        <v>0</v>
      </c>
    </row>
    <row r="14" spans="1:21" x14ac:dyDescent="0.3">
      <c r="A14" s="76"/>
      <c r="B14" s="77" t="s">
        <v>55</v>
      </c>
      <c r="C14" s="78" t="s">
        <v>63</v>
      </c>
      <c r="D14" s="79">
        <f>Апр!E14</f>
        <v>7395.2</v>
      </c>
      <c r="E14" s="80">
        <v>8212.2999999999993</v>
      </c>
      <c r="F14" s="81">
        <f t="shared" si="0"/>
        <v>817.09999999999945</v>
      </c>
      <c r="G14" s="82">
        <f>400/5</f>
        <v>80</v>
      </c>
      <c r="H14" s="83">
        <f t="shared" si="12"/>
        <v>65367.999999999956</v>
      </c>
      <c r="I14" s="158"/>
      <c r="J14" s="85">
        <f t="shared" si="7"/>
        <v>5.93</v>
      </c>
      <c r="K14" s="135">
        <f t="shared" si="8"/>
        <v>4.1500000000000004</v>
      </c>
      <c r="L14" s="86">
        <f>J14*(H14-I14)+I14*K14</f>
        <v>387632.2399999997</v>
      </c>
      <c r="M14" s="86"/>
      <c r="N14" s="87">
        <v>9.3867222073683532E-2</v>
      </c>
      <c r="O14" s="83">
        <f>H14*N14</f>
        <v>6135.9125725125414</v>
      </c>
      <c r="P14" s="83">
        <f t="shared" si="14"/>
        <v>690.46500570691398</v>
      </c>
      <c r="Q14" s="88">
        <f>J14*P14</f>
        <v>4094.4574838419999</v>
      </c>
      <c r="R14" s="89">
        <f t="shared" si="15"/>
        <v>391726.69748384168</v>
      </c>
      <c r="S14" s="98"/>
      <c r="T14" s="22">
        <f t="shared" si="17"/>
        <v>391726.69748384168</v>
      </c>
      <c r="U14" s="23">
        <f t="shared" si="6"/>
        <v>2178.933333333332</v>
      </c>
    </row>
    <row r="15" spans="1:21" x14ac:dyDescent="0.3">
      <c r="A15" s="94" t="s">
        <v>64</v>
      </c>
      <c r="B15" s="62" t="s">
        <v>52</v>
      </c>
      <c r="C15" s="63" t="s">
        <v>65</v>
      </c>
      <c r="D15" s="99">
        <f>Апр!E15</f>
        <v>3448.328</v>
      </c>
      <c r="E15" s="156">
        <v>3624.9540000000002</v>
      </c>
      <c r="F15" s="101">
        <f t="shared" si="0"/>
        <v>176.6260000000002</v>
      </c>
      <c r="G15" s="102">
        <v>1500</v>
      </c>
      <c r="H15" s="68">
        <f t="shared" si="12"/>
        <v>264939.00000000029</v>
      </c>
      <c r="I15" s="157">
        <f>SUM(I7:I14)</f>
        <v>0</v>
      </c>
      <c r="J15" s="70">
        <f t="shared" si="7"/>
        <v>5.93</v>
      </c>
      <c r="K15" s="70">
        <f t="shared" si="8"/>
        <v>4.1500000000000004</v>
      </c>
      <c r="L15" s="103">
        <f t="shared" ref="L15:L16" si="20">J15*(H15-I15)+I15*K15</f>
        <v>1571088.2700000016</v>
      </c>
      <c r="M15" s="103"/>
      <c r="N15" s="72"/>
      <c r="O15" s="73"/>
      <c r="P15" s="68"/>
      <c r="Q15" s="16"/>
      <c r="R15" s="103"/>
      <c r="S15" s="104"/>
      <c r="T15" s="22"/>
      <c r="U15" s="23"/>
    </row>
    <row r="16" spans="1:21" x14ac:dyDescent="0.3">
      <c r="A16" s="76" t="s">
        <v>66</v>
      </c>
      <c r="B16" s="77"/>
      <c r="C16" s="78"/>
      <c r="D16" s="105">
        <f>Апр!E16</f>
        <v>0</v>
      </c>
      <c r="E16" s="106"/>
      <c r="F16" s="107"/>
      <c r="G16" s="108"/>
      <c r="H16" s="83"/>
      <c r="I16" s="158"/>
      <c r="J16" s="85">
        <f t="shared" si="7"/>
        <v>0</v>
      </c>
      <c r="K16" s="135">
        <f t="shared" si="8"/>
        <v>0</v>
      </c>
      <c r="L16" s="109">
        <f t="shared" si="20"/>
        <v>0</v>
      </c>
      <c r="M16" s="109"/>
      <c r="N16" s="87"/>
      <c r="O16" s="83"/>
      <c r="P16" s="83"/>
      <c r="Q16" s="88"/>
      <c r="R16" s="110"/>
      <c r="S16" s="111"/>
      <c r="T16" s="22"/>
      <c r="U16" s="23"/>
    </row>
    <row r="17" spans="1:21" x14ac:dyDescent="0.3">
      <c r="A17" s="20"/>
      <c r="B17" s="20"/>
      <c r="C17" s="20"/>
      <c r="D17" s="24"/>
      <c r="E17" s="24"/>
      <c r="F17" s="24"/>
      <c r="G17" s="112"/>
      <c r="H17" s="26"/>
      <c r="I17" s="26"/>
      <c r="J17" s="16"/>
      <c r="K17" s="16"/>
      <c r="L17" s="113"/>
      <c r="M17" s="113"/>
      <c r="N17" s="17"/>
      <c r="O17" s="16"/>
      <c r="P17" s="16"/>
      <c r="Q17" s="16"/>
      <c r="R17" s="16"/>
      <c r="S17" s="16"/>
      <c r="T17" s="22"/>
      <c r="U17" s="23"/>
    </row>
    <row r="18" spans="1:21" x14ac:dyDescent="0.3">
      <c r="A18" s="114"/>
      <c r="B18" s="114"/>
      <c r="C18" s="114"/>
      <c r="D18" s="115"/>
      <c r="E18" s="24"/>
      <c r="F18" s="24"/>
      <c r="G18" s="116" t="s">
        <v>67</v>
      </c>
      <c r="H18" s="26">
        <f>SUM(H7:H14)</f>
        <v>262290.21999999974</v>
      </c>
      <c r="I18" s="26"/>
      <c r="J18" s="20" t="s">
        <v>46</v>
      </c>
      <c r="K18" s="20"/>
      <c r="L18" s="16"/>
      <c r="M18" s="16"/>
      <c r="N18" s="17"/>
      <c r="O18" s="16"/>
      <c r="P18" s="16"/>
      <c r="Q18" s="16"/>
      <c r="R18" s="16"/>
      <c r="S18" s="16"/>
      <c r="T18" s="22"/>
      <c r="U18" s="23"/>
    </row>
    <row r="19" spans="1:21" x14ac:dyDescent="0.3">
      <c r="A19" s="117"/>
      <c r="B19" s="117"/>
      <c r="C19" s="117"/>
      <c r="D19" s="118"/>
      <c r="E19" s="24"/>
      <c r="F19" s="24"/>
      <c r="G19" s="116" t="s">
        <v>68</v>
      </c>
      <c r="H19" s="26">
        <f>IF(H15&gt;0,H15-H18,0)</f>
        <v>2648.7800000005518</v>
      </c>
      <c r="I19" s="26"/>
      <c r="J19" s="20" t="s">
        <v>46</v>
      </c>
      <c r="K19" s="20"/>
      <c r="L19" s="16"/>
      <c r="M19" s="16"/>
      <c r="N19" s="17"/>
      <c r="O19" s="26">
        <f>SUM(O7:O14)</f>
        <v>23538.749059676506</v>
      </c>
      <c r="P19" s="16">
        <f>SUM(P7:P14)</f>
        <v>2648.7800000005518</v>
      </c>
      <c r="Q19" s="16">
        <f>SUM(Q7:Q16)</f>
        <v>15707.265400003269</v>
      </c>
      <c r="R19" s="119">
        <f>SUM(R7:R14)</f>
        <v>1571088.2700000019</v>
      </c>
      <c r="S19" s="119"/>
      <c r="T19" s="120">
        <f>SUM(T7:T14)</f>
        <v>1092310.9978206372</v>
      </c>
      <c r="U19" s="20"/>
    </row>
    <row r="20" spans="1:21" x14ac:dyDescent="0.3">
      <c r="A20" s="117"/>
      <c r="B20" s="117"/>
      <c r="C20" s="117"/>
      <c r="D20" s="118"/>
      <c r="E20" s="24"/>
      <c r="F20" s="24"/>
      <c r="G20" s="116" t="s">
        <v>69</v>
      </c>
      <c r="H20" s="17">
        <f>IF(H15&gt;0,H19/H15,0)</f>
        <v>9.9976975832193407E-3</v>
      </c>
      <c r="I20" s="17"/>
      <c r="J20" s="16"/>
      <c r="K20" s="16"/>
      <c r="L20" s="16"/>
      <c r="M20" s="16"/>
      <c r="N20" s="17"/>
      <c r="O20" s="16"/>
      <c r="P20" s="16"/>
      <c r="Q20" s="16"/>
      <c r="R20" s="16"/>
      <c r="S20" s="16"/>
      <c r="T20" s="22"/>
      <c r="U20" s="20"/>
    </row>
    <row r="21" spans="1:21" x14ac:dyDescent="0.3">
      <c r="A21" s="117"/>
      <c r="B21" s="117"/>
      <c r="C21" s="117"/>
      <c r="D21" s="118"/>
      <c r="E21" s="24"/>
      <c r="F21" s="24"/>
      <c r="G21" s="25"/>
      <c r="H21" s="16"/>
      <c r="I21" s="16"/>
      <c r="J21" s="16"/>
      <c r="K21" s="16"/>
      <c r="L21" s="16"/>
      <c r="M21" s="16"/>
      <c r="N21" s="17"/>
      <c r="O21" s="16"/>
      <c r="P21" s="16"/>
      <c r="Q21" s="16"/>
      <c r="R21" s="16"/>
      <c r="S21" s="16"/>
      <c r="T21" s="22"/>
      <c r="U21" s="20"/>
    </row>
    <row r="22" spans="1:21" x14ac:dyDescent="0.3">
      <c r="A22" s="117"/>
      <c r="B22" s="117"/>
      <c r="C22" s="117"/>
      <c r="D22" s="118"/>
      <c r="E22" s="24"/>
      <c r="F22" s="24"/>
      <c r="G22" s="25"/>
      <c r="H22" s="16"/>
      <c r="I22" s="16"/>
      <c r="J22" s="16"/>
      <c r="K22" s="16"/>
      <c r="L22" s="16"/>
      <c r="M22" s="16"/>
      <c r="N22" s="17"/>
      <c r="O22" s="16"/>
      <c r="P22" s="16"/>
      <c r="Q22" s="16"/>
      <c r="R22" s="121" t="s">
        <v>70</v>
      </c>
      <c r="S22" s="122" t="s">
        <v>71</v>
      </c>
      <c r="T22" s="122" t="s">
        <v>72</v>
      </c>
      <c r="U22" s="20"/>
    </row>
    <row r="23" spans="1:21" x14ac:dyDescent="0.3">
      <c r="A23" s="123"/>
      <c r="B23" s="123"/>
      <c r="C23" s="123"/>
      <c r="D23" s="124"/>
      <c r="E23" s="124"/>
      <c r="F23" s="124"/>
      <c r="G23" s="125" t="s">
        <v>73</v>
      </c>
      <c r="H23" s="119">
        <f>H11+H12+H13+H14</f>
        <v>149937.99999999994</v>
      </c>
      <c r="I23" s="119"/>
      <c r="J23" s="119"/>
      <c r="K23" s="119"/>
      <c r="L23" s="119"/>
      <c r="M23" s="119"/>
      <c r="N23" s="123"/>
      <c r="O23" s="126" t="s">
        <v>74</v>
      </c>
      <c r="P23" s="127"/>
      <c r="Q23" s="119"/>
      <c r="R23" s="75" t="s">
        <v>75</v>
      </c>
      <c r="S23" s="128"/>
      <c r="T23" s="129"/>
      <c r="U23" s="123"/>
    </row>
    <row r="24" spans="1:21" x14ac:dyDescent="0.3">
      <c r="A24" s="130"/>
      <c r="B24" s="130"/>
      <c r="C24" s="130"/>
      <c r="D24" s="124"/>
      <c r="E24" s="124"/>
      <c r="F24" s="124"/>
      <c r="G24" s="125" t="s">
        <v>76</v>
      </c>
      <c r="H24" s="119">
        <f>L11+L12+L13+L14</f>
        <v>889132.33999999962</v>
      </c>
      <c r="I24" s="119"/>
      <c r="J24" s="119"/>
      <c r="K24" s="119"/>
      <c r="L24" s="119"/>
      <c r="M24" s="119"/>
      <c r="N24" s="131"/>
      <c r="O24" s="126" t="s">
        <v>77</v>
      </c>
      <c r="P24" s="127"/>
      <c r="Q24" s="119"/>
      <c r="R24" s="98">
        <f>M13</f>
        <v>387632.2399999997</v>
      </c>
      <c r="S24" s="132"/>
      <c r="T24" s="98">
        <f>IF(S24&gt;0,R24-S24,0)</f>
        <v>0</v>
      </c>
      <c r="U24" s="117"/>
    </row>
    <row r="25" spans="1:21" x14ac:dyDescent="0.3">
      <c r="A25" s="133"/>
      <c r="B25" s="133"/>
      <c r="C25" s="133"/>
      <c r="D25" s="24"/>
      <c r="E25" s="24"/>
      <c r="F25" s="24"/>
      <c r="G25" s="25"/>
      <c r="H25" s="16"/>
      <c r="I25" s="16"/>
      <c r="J25" s="16"/>
      <c r="K25" s="16"/>
      <c r="L25" s="16"/>
      <c r="M25" s="16"/>
      <c r="N25" s="17"/>
      <c r="O25" s="16"/>
      <c r="P25" s="16"/>
      <c r="Q25" s="16"/>
      <c r="R25" s="104" t="s">
        <v>78</v>
      </c>
      <c r="S25" s="128"/>
      <c r="T25" s="134"/>
      <c r="U25" s="117"/>
    </row>
    <row r="26" spans="1:21" x14ac:dyDescent="0.3">
      <c r="A26" s="20"/>
      <c r="B26" s="20"/>
      <c r="C26" s="20"/>
      <c r="D26" s="24"/>
      <c r="E26" s="24"/>
      <c r="F26" s="24"/>
      <c r="G26" s="25"/>
      <c r="H26" s="26"/>
      <c r="I26" s="26"/>
      <c r="J26" s="16"/>
      <c r="K26" s="16"/>
      <c r="L26" s="16"/>
      <c r="M26" s="16"/>
      <c r="N26" s="17"/>
      <c r="O26" s="16"/>
      <c r="P26" s="16"/>
      <c r="Q26" s="16"/>
      <c r="R26" s="111">
        <f>M11</f>
        <v>501500.1</v>
      </c>
      <c r="S26" s="135"/>
      <c r="T26" s="111">
        <f>IF(S26&gt;0,R26-S26,0)</f>
        <v>0</v>
      </c>
      <c r="U26" s="117"/>
    </row>
    <row r="27" spans="1:21" x14ac:dyDescent="0.3">
      <c r="A27" s="20"/>
      <c r="B27" s="20"/>
      <c r="C27" s="20"/>
      <c r="D27" s="24" t="s">
        <v>79</v>
      </c>
      <c r="E27" s="24"/>
      <c r="F27" s="24"/>
      <c r="G27" s="25"/>
      <c r="H27" s="26"/>
      <c r="I27" s="26"/>
      <c r="J27" s="16"/>
      <c r="K27" s="16"/>
      <c r="L27" s="16"/>
      <c r="M27" s="16"/>
      <c r="N27" s="17"/>
      <c r="O27" s="16"/>
      <c r="P27" s="16"/>
      <c r="Q27" s="16"/>
      <c r="R27" s="104" t="s">
        <v>80</v>
      </c>
      <c r="S27" s="136"/>
      <c r="T27" s="134"/>
      <c r="U27" s="117"/>
    </row>
    <row r="28" spans="1:21" x14ac:dyDescent="0.3">
      <c r="A28" s="20"/>
      <c r="B28" s="20"/>
      <c r="C28" s="20"/>
      <c r="D28" s="24" t="s">
        <v>81</v>
      </c>
      <c r="E28" s="24"/>
      <c r="F28" s="24"/>
      <c r="G28" s="25"/>
      <c r="H28" s="26"/>
      <c r="I28" s="26"/>
      <c r="J28" s="16"/>
      <c r="K28" s="16"/>
      <c r="L28" s="16" t="s">
        <v>82</v>
      </c>
      <c r="M28" s="16"/>
      <c r="N28" s="17"/>
      <c r="O28" s="16"/>
      <c r="P28" s="16"/>
      <c r="Q28" s="16"/>
      <c r="R28" s="111">
        <f>R24+R26</f>
        <v>889132.33999999962</v>
      </c>
      <c r="S28" s="135"/>
      <c r="T28" s="111">
        <f>T24+T26</f>
        <v>0</v>
      </c>
      <c r="U28" s="117"/>
    </row>
  </sheetData>
  <mergeCells count="3">
    <mergeCell ref="B4:C4"/>
    <mergeCell ref="D4:E4"/>
    <mergeCell ref="D5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EE589-8C26-4052-9BFD-B6945F0A823C}">
  <sheetPr>
    <tabColor rgb="FF00FF00"/>
  </sheetPr>
  <dimension ref="A1:U28"/>
  <sheetViews>
    <sheetView showZeros="0" workbookViewId="0">
      <selection activeCell="R24" sqref="R24"/>
    </sheetView>
  </sheetViews>
  <sheetFormatPr defaultRowHeight="14.4" x14ac:dyDescent="0.3"/>
  <cols>
    <col min="1" max="1" width="9.109375" customWidth="1"/>
    <col min="2" max="2" width="11.44140625" bestFit="1" customWidth="1"/>
    <col min="3" max="3" width="13.33203125" bestFit="1" customWidth="1"/>
    <col min="4" max="5" width="9.109375" customWidth="1"/>
    <col min="6" max="6" width="7.21875" bestFit="1" customWidth="1"/>
    <col min="7" max="7" width="6.5546875" customWidth="1"/>
    <col min="8" max="8" width="9.21875" bestFit="1" customWidth="1"/>
    <col min="9" max="9" width="7.88671875" bestFit="1" customWidth="1"/>
    <col min="10" max="11" width="5.33203125" bestFit="1" customWidth="1"/>
    <col min="12" max="12" width="11.21875" customWidth="1"/>
    <col min="13" max="13" width="11.6640625" bestFit="1" customWidth="1"/>
    <col min="14" max="14" width="6.44140625" bestFit="1" customWidth="1"/>
    <col min="15" max="15" width="7.88671875" customWidth="1"/>
    <col min="16" max="16" width="9.21875" bestFit="1" customWidth="1"/>
    <col min="17" max="17" width="8.77734375" bestFit="1" customWidth="1"/>
    <col min="18" max="19" width="10.5546875" bestFit="1" customWidth="1"/>
    <col min="20" max="20" width="10.109375" bestFit="1" customWidth="1"/>
    <col min="21" max="21" width="12.109375" bestFit="1" customWidth="1"/>
  </cols>
  <sheetData>
    <row r="1" spans="1:21" ht="15.6" x14ac:dyDescent="0.3">
      <c r="A1" s="1" t="s">
        <v>0</v>
      </c>
      <c r="B1" s="1"/>
      <c r="C1" s="1"/>
      <c r="D1" s="2"/>
      <c r="E1" s="2"/>
      <c r="F1" s="2"/>
      <c r="G1" s="1"/>
      <c r="H1" s="3"/>
      <c r="I1" s="3"/>
      <c r="J1" s="4"/>
      <c r="K1" s="4"/>
      <c r="L1" s="5"/>
      <c r="M1" s="5"/>
      <c r="N1" s="6"/>
      <c r="O1" s="7"/>
      <c r="P1" s="7"/>
      <c r="Q1" s="4"/>
      <c r="R1" s="4"/>
      <c r="S1" s="4"/>
      <c r="T1" s="8"/>
      <c r="U1" s="9"/>
    </row>
    <row r="2" spans="1:21" x14ac:dyDescent="0.3">
      <c r="A2" s="10" t="s">
        <v>1</v>
      </c>
      <c r="B2" s="11" t="s">
        <v>90</v>
      </c>
      <c r="C2" s="12" t="s">
        <v>3</v>
      </c>
      <c r="D2" s="13">
        <v>2022</v>
      </c>
      <c r="E2" s="14" t="s">
        <v>4</v>
      </c>
      <c r="F2" s="15">
        <v>27</v>
      </c>
      <c r="G2" s="16"/>
      <c r="H2" s="16"/>
      <c r="I2" s="16"/>
      <c r="J2" s="16"/>
      <c r="K2" s="16"/>
      <c r="L2" s="17"/>
      <c r="M2" s="16"/>
      <c r="N2" s="16"/>
      <c r="O2" s="18" t="s">
        <v>5</v>
      </c>
      <c r="P2" s="19">
        <v>33</v>
      </c>
      <c r="Q2" s="20"/>
      <c r="R2" s="20"/>
      <c r="S2" s="21"/>
      <c r="T2" s="22"/>
      <c r="U2" s="23"/>
    </row>
    <row r="3" spans="1:21" s="139" customFormat="1" ht="12" x14ac:dyDescent="0.25">
      <c r="A3" s="138" t="s">
        <v>85</v>
      </c>
      <c r="B3" s="20"/>
      <c r="C3" s="140">
        <f>Янв!C3</f>
        <v>5.93</v>
      </c>
      <c r="D3" s="24"/>
      <c r="E3" s="137" t="s">
        <v>86</v>
      </c>
      <c r="F3" s="24"/>
      <c r="G3" s="140">
        <f>Янв!G3</f>
        <v>4.1500000000000004</v>
      </c>
      <c r="H3" s="26"/>
      <c r="I3" s="26"/>
      <c r="J3" s="16"/>
      <c r="K3" s="16"/>
      <c r="L3" s="16"/>
      <c r="M3" s="16"/>
      <c r="N3" s="17"/>
      <c r="O3" s="16"/>
      <c r="P3" s="16"/>
      <c r="Q3" s="16"/>
      <c r="R3" s="16"/>
      <c r="S3" s="16"/>
      <c r="T3" s="22"/>
      <c r="U3" s="23"/>
    </row>
    <row r="4" spans="1:21" x14ac:dyDescent="0.3">
      <c r="A4" s="27" t="s">
        <v>6</v>
      </c>
      <c r="B4" s="199" t="s">
        <v>7</v>
      </c>
      <c r="C4" s="200"/>
      <c r="D4" s="205" t="s">
        <v>8</v>
      </c>
      <c r="E4" s="206"/>
      <c r="F4" s="28" t="s">
        <v>9</v>
      </c>
      <c r="G4" s="29" t="s">
        <v>10</v>
      </c>
      <c r="H4" s="30" t="s">
        <v>11</v>
      </c>
      <c r="I4" s="30" t="s">
        <v>12</v>
      </c>
      <c r="J4" s="31" t="s">
        <v>13</v>
      </c>
      <c r="K4" s="32" t="s">
        <v>14</v>
      </c>
      <c r="L4" s="33" t="s">
        <v>15</v>
      </c>
      <c r="M4" s="33" t="s">
        <v>16</v>
      </c>
      <c r="N4" s="34" t="s">
        <v>17</v>
      </c>
      <c r="O4" s="35" t="s">
        <v>18</v>
      </c>
      <c r="P4" s="35" t="s">
        <v>19</v>
      </c>
      <c r="Q4" s="35" t="s">
        <v>15</v>
      </c>
      <c r="R4" s="36" t="s">
        <v>20</v>
      </c>
      <c r="S4" s="37" t="s">
        <v>21</v>
      </c>
      <c r="T4" s="38" t="s">
        <v>22</v>
      </c>
      <c r="U4" s="23" t="s">
        <v>23</v>
      </c>
    </row>
    <row r="5" spans="1:21" x14ac:dyDescent="0.3">
      <c r="A5" s="39"/>
      <c r="B5" s="27" t="s">
        <v>24</v>
      </c>
      <c r="C5" s="27" t="s">
        <v>25</v>
      </c>
      <c r="D5" s="207" t="s">
        <v>26</v>
      </c>
      <c r="E5" s="208"/>
      <c r="F5" s="40"/>
      <c r="G5" s="41" t="s">
        <v>27</v>
      </c>
      <c r="H5" s="39" t="s">
        <v>28</v>
      </c>
      <c r="I5" s="39" t="s">
        <v>29</v>
      </c>
      <c r="J5" s="42" t="s">
        <v>30</v>
      </c>
      <c r="K5" s="43" t="s">
        <v>31</v>
      </c>
      <c r="L5" s="44" t="s">
        <v>32</v>
      </c>
      <c r="M5" s="44" t="s">
        <v>33</v>
      </c>
      <c r="N5" s="45" t="s">
        <v>34</v>
      </c>
      <c r="O5" s="46" t="s">
        <v>35</v>
      </c>
      <c r="P5" s="46" t="s">
        <v>36</v>
      </c>
      <c r="Q5" s="46" t="s">
        <v>37</v>
      </c>
      <c r="R5" s="47" t="s">
        <v>38</v>
      </c>
      <c r="S5" s="48" t="s">
        <v>39</v>
      </c>
      <c r="T5" s="38" t="s">
        <v>40</v>
      </c>
      <c r="U5" s="23" t="s">
        <v>41</v>
      </c>
    </row>
    <row r="6" spans="1:21" x14ac:dyDescent="0.3">
      <c r="A6" s="49"/>
      <c r="B6" s="49" t="s">
        <v>42</v>
      </c>
      <c r="C6" s="49" t="s">
        <v>42</v>
      </c>
      <c r="D6" s="50" t="s">
        <v>43</v>
      </c>
      <c r="E6" s="51" t="s">
        <v>44</v>
      </c>
      <c r="F6" s="52"/>
      <c r="G6" s="53" t="s">
        <v>45</v>
      </c>
      <c r="H6" s="54" t="s">
        <v>46</v>
      </c>
      <c r="I6" s="54" t="s">
        <v>47</v>
      </c>
      <c r="J6" s="55" t="s">
        <v>46</v>
      </c>
      <c r="K6" s="56"/>
      <c r="L6" s="57" t="s">
        <v>48</v>
      </c>
      <c r="M6" s="57" t="s">
        <v>48</v>
      </c>
      <c r="N6" s="58"/>
      <c r="O6" s="59" t="s">
        <v>46</v>
      </c>
      <c r="P6" s="59" t="s">
        <v>46</v>
      </c>
      <c r="Q6" s="59" t="s">
        <v>48</v>
      </c>
      <c r="R6" s="60" t="s">
        <v>49</v>
      </c>
      <c r="S6" s="60" t="s">
        <v>49</v>
      </c>
      <c r="T6" s="38" t="s">
        <v>34</v>
      </c>
      <c r="U6" s="23" t="s">
        <v>50</v>
      </c>
    </row>
    <row r="7" spans="1:21" x14ac:dyDescent="0.3">
      <c r="A7" s="61" t="s">
        <v>51</v>
      </c>
      <c r="B7" s="62" t="s">
        <v>52</v>
      </c>
      <c r="C7" s="63" t="s">
        <v>53</v>
      </c>
      <c r="D7" s="64">
        <f>Май!E7</f>
        <v>75979.342999999993</v>
      </c>
      <c r="E7" s="65">
        <v>75979.342999999993</v>
      </c>
      <c r="F7" s="66">
        <f t="shared" ref="F7:F8" si="0">IF(E7&gt;0,E7-D7,0)</f>
        <v>0</v>
      </c>
      <c r="G7" s="67">
        <v>60</v>
      </c>
      <c r="H7" s="68">
        <f t="shared" ref="H7:H8" si="1">F7*G7</f>
        <v>0</v>
      </c>
      <c r="I7" s="157"/>
      <c r="J7" s="70">
        <f>IF(G7&gt;0,$C$3,0)</f>
        <v>5.93</v>
      </c>
      <c r="K7" s="70">
        <f>IF(G7&gt;0,$G$3,0)</f>
        <v>4.1500000000000004</v>
      </c>
      <c r="L7" s="71">
        <f t="shared" ref="L7:L8" si="2">J7*(H7-I7)+I7*K7</f>
        <v>0</v>
      </c>
      <c r="M7" s="71">
        <f>L7+L8</f>
        <v>442209.58799999993</v>
      </c>
      <c r="N7" s="72">
        <v>8.4239417043940584E-2</v>
      </c>
      <c r="O7" s="73">
        <f>H7*N7</f>
        <v>0</v>
      </c>
      <c r="P7" s="68">
        <f t="shared" ref="P7:P8" si="3">IF($O$19&gt;0,O7*$H$19/$O$19,0)</f>
        <v>0</v>
      </c>
      <c r="Q7" s="16">
        <f>J7*P7</f>
        <v>0</v>
      </c>
      <c r="R7" s="74">
        <f t="shared" ref="R7:R8" si="4">IF(P7&gt;0,L7+Q7,L7)</f>
        <v>0</v>
      </c>
      <c r="S7" s="91">
        <f t="shared" ref="S7" si="5">R7+R8</f>
        <v>442209.58799999993</v>
      </c>
      <c r="T7" s="22">
        <f>L7+Q7</f>
        <v>0</v>
      </c>
      <c r="U7" s="23">
        <f t="shared" ref="U7:U14" si="6">IF($P$2&gt;0,H7/$P$2,0)</f>
        <v>0</v>
      </c>
    </row>
    <row r="8" spans="1:21" x14ac:dyDescent="0.3">
      <c r="A8" s="76"/>
      <c r="B8" s="77"/>
      <c r="C8" s="78"/>
      <c r="D8" s="79">
        <f>Май!E8</f>
        <v>1</v>
      </c>
      <c r="E8" s="80">
        <v>622.42999999999995</v>
      </c>
      <c r="F8" s="81">
        <f t="shared" si="0"/>
        <v>621.42999999999995</v>
      </c>
      <c r="G8" s="82">
        <f>600/5</f>
        <v>120</v>
      </c>
      <c r="H8" s="83">
        <f t="shared" si="1"/>
        <v>74571.599999999991</v>
      </c>
      <c r="I8" s="158"/>
      <c r="J8" s="85">
        <f t="shared" ref="J8" si="7">IF(G8&gt;0,$C$3,0)</f>
        <v>5.93</v>
      </c>
      <c r="K8" s="135">
        <f t="shared" ref="K8" si="8">IF(G8&gt;0,$G$3,0)</f>
        <v>4.1500000000000004</v>
      </c>
      <c r="L8" s="86">
        <f t="shared" si="2"/>
        <v>442209.58799999993</v>
      </c>
      <c r="M8" s="86"/>
      <c r="N8" s="87">
        <v>8.4239417043940584E-2</v>
      </c>
      <c r="O8" s="83">
        <f>H8*N8</f>
        <v>6281.8681120339188</v>
      </c>
      <c r="P8" s="83">
        <f t="shared" si="3"/>
        <v>-2453.7629290192026</v>
      </c>
      <c r="Q8" s="88">
        <f>J8*P8</f>
        <v>-14550.814169083871</v>
      </c>
      <c r="R8" s="89">
        <f t="shared" si="4"/>
        <v>442209.58799999993</v>
      </c>
      <c r="S8" s="90"/>
      <c r="T8" s="22"/>
      <c r="U8" s="23">
        <f t="shared" si="6"/>
        <v>2259.7454545454543</v>
      </c>
    </row>
    <row r="9" spans="1:21" x14ac:dyDescent="0.3">
      <c r="A9" s="61" t="s">
        <v>54</v>
      </c>
      <c r="B9" s="62" t="s">
        <v>55</v>
      </c>
      <c r="C9" s="63" t="s">
        <v>56</v>
      </c>
      <c r="D9" s="64">
        <f>Май!E9</f>
        <v>16805.5</v>
      </c>
      <c r="E9" s="65">
        <v>17303.599999999999</v>
      </c>
      <c r="F9" s="66">
        <f t="shared" ref="F9:F15" si="9">IF(E9&gt;0,E9-D9,0)</f>
        <v>498.09999999999854</v>
      </c>
      <c r="G9" s="67">
        <v>50</v>
      </c>
      <c r="H9" s="68">
        <f>F9*G9+F10*G10</f>
        <v>24904.999999999927</v>
      </c>
      <c r="I9" s="69"/>
      <c r="J9" s="70">
        <f t="shared" ref="J9:J16" si="10">IF(G9&gt;0,$C$3,0)</f>
        <v>5.93</v>
      </c>
      <c r="K9" s="70">
        <f t="shared" ref="K9:K16" si="11">IF(G9&gt;0,$G$3,0)</f>
        <v>4.1500000000000004</v>
      </c>
      <c r="L9" s="71">
        <f t="shared" ref="L9:L13" si="12">J9*(H9-I9)+I9*K9</f>
        <v>147686.64999999956</v>
      </c>
      <c r="M9" s="71">
        <f t="shared" ref="M9" si="13">L9+L10</f>
        <v>147686.64999999956</v>
      </c>
      <c r="N9" s="72">
        <v>8.4239417043940584E-2</v>
      </c>
      <c r="O9" s="73">
        <f>H9*N9</f>
        <v>2097.9826814793341</v>
      </c>
      <c r="P9" s="68">
        <f t="shared" ref="P9" si="14">IF($O$19&gt;0,O9*$H$19/$O$19,0)</f>
        <v>-819.49382536009773</v>
      </c>
      <c r="Q9" s="16">
        <f>J9*P9</f>
        <v>-4859.5983843853792</v>
      </c>
      <c r="R9" s="74">
        <f t="shared" ref="R9" si="15">IF(P9&gt;0,L9+Q9,L9)</f>
        <v>147686.64999999956</v>
      </c>
      <c r="S9" s="91">
        <f t="shared" ref="S9" si="16">R9+R10</f>
        <v>147686.64999999956</v>
      </c>
      <c r="T9" s="22">
        <f t="shared" ref="T9" si="17">L9+Q9</f>
        <v>142827.05161561418</v>
      </c>
      <c r="U9" s="23">
        <f t="shared" si="6"/>
        <v>754.69696969696747</v>
      </c>
    </row>
    <row r="10" spans="1:21" x14ac:dyDescent="0.3">
      <c r="A10" s="92" t="s">
        <v>57</v>
      </c>
      <c r="B10" s="77"/>
      <c r="C10" s="78"/>
      <c r="D10" s="79">
        <f>Май!E10</f>
        <v>0</v>
      </c>
      <c r="E10" s="80"/>
      <c r="F10" s="93"/>
      <c r="G10" s="82"/>
      <c r="H10" s="83"/>
      <c r="I10" s="84"/>
      <c r="J10" s="85">
        <f t="shared" si="10"/>
        <v>0</v>
      </c>
      <c r="K10" s="135">
        <f t="shared" si="11"/>
        <v>0</v>
      </c>
      <c r="L10" s="86">
        <f t="shared" si="12"/>
        <v>0</v>
      </c>
      <c r="M10" s="86"/>
      <c r="N10" s="87"/>
      <c r="O10" s="83"/>
      <c r="P10" s="83"/>
      <c r="Q10" s="88"/>
      <c r="R10" s="89"/>
      <c r="S10" s="90"/>
      <c r="T10" s="22"/>
      <c r="U10" s="23">
        <f t="shared" si="6"/>
        <v>0</v>
      </c>
    </row>
    <row r="11" spans="1:21" x14ac:dyDescent="0.3">
      <c r="A11" s="94" t="s">
        <v>58</v>
      </c>
      <c r="B11" s="62" t="s">
        <v>55</v>
      </c>
      <c r="C11" s="63" t="s">
        <v>59</v>
      </c>
      <c r="D11" s="64">
        <f>Май!E11</f>
        <v>87610.1</v>
      </c>
      <c r="E11" s="95">
        <v>88807.3</v>
      </c>
      <c r="F11" s="66">
        <f t="shared" si="9"/>
        <v>1197.1999999999971</v>
      </c>
      <c r="G11" s="67">
        <v>60</v>
      </c>
      <c r="H11" s="68">
        <f t="shared" ref="H11:H15" si="18">F11*G11</f>
        <v>71831.999999999825</v>
      </c>
      <c r="I11" s="69"/>
      <c r="J11" s="70">
        <f t="shared" si="10"/>
        <v>5.93</v>
      </c>
      <c r="K11" s="70">
        <f t="shared" si="11"/>
        <v>4.1500000000000004</v>
      </c>
      <c r="L11" s="71">
        <f t="shared" si="12"/>
        <v>425963.75999999896</v>
      </c>
      <c r="M11" s="71">
        <f t="shared" ref="M11" si="19">L11+L12</f>
        <v>425963.75999999896</v>
      </c>
      <c r="N11" s="72">
        <v>9.3867222073683532E-2</v>
      </c>
      <c r="O11" s="73">
        <f>H11*N11</f>
        <v>6742.6702959968188</v>
      </c>
      <c r="P11" s="68">
        <f t="shared" ref="P11:P14" si="20">IF($O$19&gt;0,O11*$H$19/$O$19,0)</f>
        <v>-2633.7570480382274</v>
      </c>
      <c r="Q11" s="16">
        <f>J11*P11</f>
        <v>-15618.179294866688</v>
      </c>
      <c r="R11" s="74">
        <f t="shared" ref="R11:R14" si="21">IF(P11&gt;0,L11+Q11,L11)</f>
        <v>425963.75999999896</v>
      </c>
      <c r="S11" s="91">
        <f t="shared" ref="S11" si="22">R11+R12</f>
        <v>425963.75999999896</v>
      </c>
      <c r="T11" s="22">
        <f t="shared" ref="T11:T14" si="23">L11+Q11</f>
        <v>410345.58070513228</v>
      </c>
      <c r="U11" s="23">
        <f t="shared" si="6"/>
        <v>2176.7272727272675</v>
      </c>
    </row>
    <row r="12" spans="1:21" x14ac:dyDescent="0.3">
      <c r="A12" s="76"/>
      <c r="B12" s="77" t="s">
        <v>55</v>
      </c>
      <c r="C12" s="78" t="s">
        <v>60</v>
      </c>
      <c r="D12" s="79">
        <f>Май!E12</f>
        <v>3</v>
      </c>
      <c r="E12" s="80">
        <v>3</v>
      </c>
      <c r="F12" s="81">
        <f t="shared" si="9"/>
        <v>0</v>
      </c>
      <c r="G12" s="82">
        <f>400/5</f>
        <v>80</v>
      </c>
      <c r="H12" s="83">
        <f t="shared" si="18"/>
        <v>0</v>
      </c>
      <c r="I12" s="84"/>
      <c r="J12" s="85">
        <f t="shared" si="10"/>
        <v>5.93</v>
      </c>
      <c r="K12" s="135">
        <f t="shared" si="11"/>
        <v>4.1500000000000004</v>
      </c>
      <c r="L12" s="86">
        <f t="shared" si="12"/>
        <v>0</v>
      </c>
      <c r="M12" s="86"/>
      <c r="N12" s="87">
        <v>9.3867222073683532E-2</v>
      </c>
      <c r="O12" s="83">
        <f>H12*N12</f>
        <v>0</v>
      </c>
      <c r="P12" s="83">
        <f t="shared" si="20"/>
        <v>0</v>
      </c>
      <c r="Q12" s="88">
        <f>J12*P12</f>
        <v>0</v>
      </c>
      <c r="R12" s="89">
        <f t="shared" si="21"/>
        <v>0</v>
      </c>
      <c r="S12" s="90"/>
      <c r="T12" s="22">
        <f t="shared" si="23"/>
        <v>0</v>
      </c>
      <c r="U12" s="23">
        <f t="shared" si="6"/>
        <v>0</v>
      </c>
    </row>
    <row r="13" spans="1:21" x14ac:dyDescent="0.3">
      <c r="A13" s="94" t="s">
        <v>61</v>
      </c>
      <c r="B13" s="62" t="s">
        <v>55</v>
      </c>
      <c r="C13" s="63" t="s">
        <v>62</v>
      </c>
      <c r="D13" s="64">
        <f>Май!E13</f>
        <v>7770.7</v>
      </c>
      <c r="E13" s="95">
        <v>7770.7</v>
      </c>
      <c r="F13" s="66">
        <f t="shared" si="9"/>
        <v>0</v>
      </c>
      <c r="G13" s="67">
        <v>40</v>
      </c>
      <c r="H13" s="68">
        <f t="shared" si="18"/>
        <v>0</v>
      </c>
      <c r="I13" s="96"/>
      <c r="J13" s="70">
        <f t="shared" si="10"/>
        <v>5.93</v>
      </c>
      <c r="K13" s="70">
        <f t="shared" si="11"/>
        <v>4.1500000000000004</v>
      </c>
      <c r="L13" s="71">
        <f t="shared" si="12"/>
        <v>0</v>
      </c>
      <c r="M13" s="71">
        <f t="shared" ref="M13" si="24">L13+L14</f>
        <v>338420.36000000034</v>
      </c>
      <c r="N13" s="72">
        <v>9.3867222073683532E-2</v>
      </c>
      <c r="O13" s="73">
        <f>H13*N13</f>
        <v>0</v>
      </c>
      <c r="P13" s="68">
        <f t="shared" si="20"/>
        <v>0</v>
      </c>
      <c r="Q13" s="16">
        <f>J13*P13</f>
        <v>0</v>
      </c>
      <c r="R13" s="74">
        <f t="shared" si="21"/>
        <v>0</v>
      </c>
      <c r="S13" s="91">
        <f t="shared" ref="S13" si="25">R13+R14</f>
        <v>338420.36000000034</v>
      </c>
      <c r="T13" s="22">
        <f t="shared" si="23"/>
        <v>0</v>
      </c>
      <c r="U13" s="23">
        <f t="shared" si="6"/>
        <v>0</v>
      </c>
    </row>
    <row r="14" spans="1:21" x14ac:dyDescent="0.3">
      <c r="A14" s="76"/>
      <c r="B14" s="77" t="s">
        <v>55</v>
      </c>
      <c r="C14" s="78" t="s">
        <v>63</v>
      </c>
      <c r="D14" s="79">
        <f>Май!E14</f>
        <v>8212.2999999999993</v>
      </c>
      <c r="E14" s="80">
        <v>8939</v>
      </c>
      <c r="F14" s="81">
        <f t="shared" si="9"/>
        <v>726.70000000000073</v>
      </c>
      <c r="G14" s="82">
        <f>400/5</f>
        <v>80</v>
      </c>
      <c r="H14" s="83">
        <f t="shared" si="18"/>
        <v>58136.000000000058</v>
      </c>
      <c r="I14" s="84">
        <v>3554</v>
      </c>
      <c r="J14" s="85">
        <f t="shared" si="10"/>
        <v>5.93</v>
      </c>
      <c r="K14" s="135">
        <f t="shared" si="11"/>
        <v>4.1500000000000004</v>
      </c>
      <c r="L14" s="86">
        <f>J14*(H14-I14)+I14*K14</f>
        <v>338420.36000000034</v>
      </c>
      <c r="M14" s="86"/>
      <c r="N14" s="87">
        <v>9.3867222073683532E-2</v>
      </c>
      <c r="O14" s="83">
        <f>H14*N14</f>
        <v>5457.0648224756715</v>
      </c>
      <c r="P14" s="83">
        <f t="shared" si="20"/>
        <v>-2131.5861975825665</v>
      </c>
      <c r="Q14" s="88">
        <f>J14*P14</f>
        <v>-12640.306151664618</v>
      </c>
      <c r="R14" s="89">
        <f t="shared" si="21"/>
        <v>338420.36000000034</v>
      </c>
      <c r="S14" s="98"/>
      <c r="T14" s="22">
        <f t="shared" si="23"/>
        <v>325780.05384833569</v>
      </c>
      <c r="U14" s="23">
        <f t="shared" si="6"/>
        <v>1761.6969696969716</v>
      </c>
    </row>
    <row r="15" spans="1:21" x14ac:dyDescent="0.3">
      <c r="A15" s="94" t="s">
        <v>64</v>
      </c>
      <c r="B15" s="62" t="s">
        <v>52</v>
      </c>
      <c r="C15" s="63" t="s">
        <v>65</v>
      </c>
      <c r="D15" s="99">
        <f>Май!E15</f>
        <v>3624.9540000000002</v>
      </c>
      <c r="E15" s="100">
        <v>3772.558</v>
      </c>
      <c r="F15" s="101">
        <f t="shared" si="9"/>
        <v>147.60399999999981</v>
      </c>
      <c r="G15" s="102">
        <v>1500</v>
      </c>
      <c r="H15" s="68">
        <f t="shared" si="18"/>
        <v>221405.99999999971</v>
      </c>
      <c r="I15" s="69">
        <f>SUM(I7:I14)</f>
        <v>3554</v>
      </c>
      <c r="J15" s="70">
        <f t="shared" si="10"/>
        <v>5.93</v>
      </c>
      <c r="K15" s="70">
        <f t="shared" si="11"/>
        <v>4.1500000000000004</v>
      </c>
      <c r="L15" s="103">
        <f t="shared" ref="L15:L16" si="26">J15*(H15-I15)+I15*K15</f>
        <v>1306611.4599999983</v>
      </c>
      <c r="M15" s="103"/>
      <c r="N15" s="72"/>
      <c r="O15" s="73"/>
      <c r="P15" s="68"/>
      <c r="Q15" s="16"/>
      <c r="R15" s="103"/>
      <c r="S15" s="104"/>
      <c r="T15" s="22"/>
      <c r="U15" s="23"/>
    </row>
    <row r="16" spans="1:21" x14ac:dyDescent="0.3">
      <c r="A16" s="76" t="s">
        <v>66</v>
      </c>
      <c r="B16" s="77"/>
      <c r="C16" s="78"/>
      <c r="D16" s="105">
        <f>Май!E16</f>
        <v>0</v>
      </c>
      <c r="E16" s="106"/>
      <c r="F16" s="107"/>
      <c r="G16" s="108"/>
      <c r="H16" s="83"/>
      <c r="I16" s="84"/>
      <c r="J16" s="85">
        <f t="shared" si="10"/>
        <v>0</v>
      </c>
      <c r="K16" s="135">
        <f t="shared" si="11"/>
        <v>0</v>
      </c>
      <c r="L16" s="109">
        <f t="shared" si="26"/>
        <v>0</v>
      </c>
      <c r="M16" s="109"/>
      <c r="N16" s="87"/>
      <c r="O16" s="83"/>
      <c r="P16" s="83"/>
      <c r="Q16" s="88"/>
      <c r="R16" s="110"/>
      <c r="S16" s="111"/>
      <c r="T16" s="22"/>
      <c r="U16" s="23"/>
    </row>
    <row r="17" spans="1:21" x14ac:dyDescent="0.3">
      <c r="A17" s="20"/>
      <c r="B17" s="20"/>
      <c r="C17" s="20"/>
      <c r="D17" s="24"/>
      <c r="E17" s="24"/>
      <c r="F17" s="24"/>
      <c r="G17" s="112"/>
      <c r="H17" s="26"/>
      <c r="I17" s="26"/>
      <c r="J17" s="16"/>
      <c r="K17" s="16"/>
      <c r="L17" s="113"/>
      <c r="M17" s="113"/>
      <c r="N17" s="17"/>
      <c r="O17" s="16"/>
      <c r="P17" s="16"/>
      <c r="Q17" s="16"/>
      <c r="R17" s="16"/>
      <c r="S17" s="16"/>
      <c r="T17" s="22"/>
      <c r="U17" s="23"/>
    </row>
    <row r="18" spans="1:21" x14ac:dyDescent="0.3">
      <c r="A18" s="114"/>
      <c r="B18" s="114"/>
      <c r="C18" s="114"/>
      <c r="D18" s="115"/>
      <c r="E18" s="24"/>
      <c r="F18" s="24"/>
      <c r="G18" s="116" t="s">
        <v>67</v>
      </c>
      <c r="H18" s="26">
        <f>SUM(H7:H14)</f>
        <v>229444.5999999998</v>
      </c>
      <c r="I18" s="26"/>
      <c r="J18" s="20" t="s">
        <v>46</v>
      </c>
      <c r="K18" s="20"/>
      <c r="L18" s="16"/>
      <c r="M18" s="16"/>
      <c r="N18" s="17"/>
      <c r="O18" s="16"/>
      <c r="P18" s="16"/>
      <c r="Q18" s="16"/>
      <c r="R18" s="16"/>
      <c r="S18" s="16"/>
      <c r="T18" s="22"/>
      <c r="U18" s="23"/>
    </row>
    <row r="19" spans="1:21" x14ac:dyDescent="0.3">
      <c r="A19" s="117"/>
      <c r="B19" s="117"/>
      <c r="C19" s="117"/>
      <c r="D19" s="118"/>
      <c r="E19" s="24"/>
      <c r="F19" s="24"/>
      <c r="G19" s="116" t="s">
        <v>68</v>
      </c>
      <c r="H19" s="26">
        <f>IF(H15&gt;0,H15-H18,0)</f>
        <v>-8038.6000000000931</v>
      </c>
      <c r="I19" s="26"/>
      <c r="J19" s="20" t="s">
        <v>46</v>
      </c>
      <c r="K19" s="20"/>
      <c r="L19" s="16"/>
      <c r="M19" s="16"/>
      <c r="N19" s="17"/>
      <c r="O19" s="26">
        <f>SUM(O7:O14)</f>
        <v>20579.585911985741</v>
      </c>
      <c r="P19" s="16">
        <f>SUM(P7:P14)</f>
        <v>-8038.600000000094</v>
      </c>
      <c r="Q19" s="16">
        <f>SUM(Q7:Q16)</f>
        <v>-47668.898000000561</v>
      </c>
      <c r="R19" s="119">
        <f>SUM(R7:R14)</f>
        <v>1354280.3579999986</v>
      </c>
      <c r="S19" s="119"/>
      <c r="T19" s="120">
        <f>SUM(T7:T14)</f>
        <v>878952.68616908207</v>
      </c>
      <c r="U19" s="20"/>
    </row>
    <row r="20" spans="1:21" x14ac:dyDescent="0.3">
      <c r="A20" s="117"/>
      <c r="B20" s="117"/>
      <c r="C20" s="117"/>
      <c r="D20" s="118"/>
      <c r="E20" s="24"/>
      <c r="F20" s="24"/>
      <c r="G20" s="116" t="s">
        <v>69</v>
      </c>
      <c r="H20" s="17">
        <f>IF(H15&gt;0,H19/H15,0)</f>
        <v>-3.6307055816012679E-2</v>
      </c>
      <c r="I20" s="17"/>
      <c r="J20" s="16"/>
      <c r="K20" s="16"/>
      <c r="L20" s="16"/>
      <c r="M20" s="16"/>
      <c r="N20" s="17"/>
      <c r="O20" s="16"/>
      <c r="P20" s="16"/>
      <c r="Q20" s="16"/>
      <c r="R20" s="16"/>
      <c r="S20" s="16"/>
      <c r="T20" s="22"/>
      <c r="U20" s="20"/>
    </row>
    <row r="21" spans="1:21" x14ac:dyDescent="0.3">
      <c r="A21" s="117"/>
      <c r="B21" s="117"/>
      <c r="C21" s="117"/>
      <c r="D21" s="118"/>
      <c r="E21" s="24"/>
      <c r="F21" s="24"/>
      <c r="G21" s="25"/>
      <c r="H21" s="16"/>
      <c r="I21" s="16"/>
      <c r="J21" s="16"/>
      <c r="K21" s="16"/>
      <c r="L21" s="16"/>
      <c r="M21" s="16"/>
      <c r="N21" s="17"/>
      <c r="O21" s="16"/>
      <c r="P21" s="16"/>
      <c r="Q21" s="16"/>
      <c r="R21" s="16"/>
      <c r="S21" s="16"/>
      <c r="T21" s="22"/>
      <c r="U21" s="20"/>
    </row>
    <row r="22" spans="1:21" x14ac:dyDescent="0.3">
      <c r="A22" s="117"/>
      <c r="B22" s="117"/>
      <c r="C22" s="117"/>
      <c r="D22" s="118"/>
      <c r="E22" s="24"/>
      <c r="F22" s="24"/>
      <c r="G22" s="25"/>
      <c r="H22" s="16"/>
      <c r="I22" s="16"/>
      <c r="J22" s="16"/>
      <c r="K22" s="16"/>
      <c r="L22" s="16"/>
      <c r="M22" s="16"/>
      <c r="N22" s="17"/>
      <c r="O22" s="16"/>
      <c r="P22" s="16"/>
      <c r="Q22" s="16"/>
      <c r="R22" s="121" t="s">
        <v>70</v>
      </c>
      <c r="S22" s="122" t="s">
        <v>71</v>
      </c>
      <c r="T22" s="122" t="s">
        <v>72</v>
      </c>
      <c r="U22" s="20"/>
    </row>
    <row r="23" spans="1:21" x14ac:dyDescent="0.3">
      <c r="A23" s="123"/>
      <c r="B23" s="123"/>
      <c r="C23" s="123"/>
      <c r="D23" s="124"/>
      <c r="E23" s="124"/>
      <c r="F23" s="124"/>
      <c r="G23" s="125" t="s">
        <v>73</v>
      </c>
      <c r="H23" s="119">
        <f>H11+H12+H13+H14</f>
        <v>129967.99999999988</v>
      </c>
      <c r="I23" s="119"/>
      <c r="J23" s="119"/>
      <c r="K23" s="119"/>
      <c r="L23" s="119"/>
      <c r="M23" s="119"/>
      <c r="N23" s="123"/>
      <c r="O23" s="126" t="s">
        <v>74</v>
      </c>
      <c r="P23" s="127"/>
      <c r="Q23" s="119"/>
      <c r="R23" s="75" t="s">
        <v>75</v>
      </c>
      <c r="S23" s="128"/>
      <c r="T23" s="129"/>
      <c r="U23" s="123"/>
    </row>
    <row r="24" spans="1:21" x14ac:dyDescent="0.3">
      <c r="A24" s="130"/>
      <c r="B24" s="130"/>
      <c r="C24" s="130"/>
      <c r="D24" s="124"/>
      <c r="E24" s="124"/>
      <c r="F24" s="124"/>
      <c r="G24" s="125" t="s">
        <v>76</v>
      </c>
      <c r="H24" s="119">
        <f>L11+L12+L13+L14</f>
        <v>764384.1199999993</v>
      </c>
      <c r="I24" s="119"/>
      <c r="J24" s="119"/>
      <c r="K24" s="119"/>
      <c r="L24" s="119"/>
      <c r="M24" s="119"/>
      <c r="N24" s="131"/>
      <c r="O24" s="126" t="s">
        <v>77</v>
      </c>
      <c r="P24" s="127"/>
      <c r="Q24" s="119"/>
      <c r="R24" s="98">
        <f>M13</f>
        <v>338420.36000000034</v>
      </c>
      <c r="S24" s="132"/>
      <c r="T24" s="98">
        <f>IF(S24&gt;0,R24-S24,0)</f>
        <v>0</v>
      </c>
      <c r="U24" s="117"/>
    </row>
    <row r="25" spans="1:21" x14ac:dyDescent="0.3">
      <c r="A25" s="133"/>
      <c r="B25" s="133"/>
      <c r="C25" s="133"/>
      <c r="D25" s="24"/>
      <c r="E25" s="24"/>
      <c r="F25" s="24"/>
      <c r="G25" s="25"/>
      <c r="H25" s="16"/>
      <c r="I25" s="16"/>
      <c r="J25" s="16"/>
      <c r="K25" s="16"/>
      <c r="L25" s="16"/>
      <c r="M25" s="16"/>
      <c r="N25" s="17"/>
      <c r="O25" s="16"/>
      <c r="P25" s="16"/>
      <c r="Q25" s="16"/>
      <c r="R25" s="104" t="s">
        <v>78</v>
      </c>
      <c r="S25" s="128"/>
      <c r="T25" s="134"/>
      <c r="U25" s="117"/>
    </row>
    <row r="26" spans="1:21" x14ac:dyDescent="0.3">
      <c r="A26" s="20"/>
      <c r="B26" s="20"/>
      <c r="C26" s="20"/>
      <c r="D26" s="24"/>
      <c r="E26" s="24"/>
      <c r="F26" s="24"/>
      <c r="G26" s="25"/>
      <c r="H26" s="26"/>
      <c r="I26" s="26"/>
      <c r="J26" s="16"/>
      <c r="K26" s="16"/>
      <c r="L26" s="16"/>
      <c r="M26" s="16"/>
      <c r="N26" s="17"/>
      <c r="O26" s="16"/>
      <c r="P26" s="16"/>
      <c r="Q26" s="16"/>
      <c r="R26" s="111">
        <f>M11</f>
        <v>425963.75999999896</v>
      </c>
      <c r="S26" s="135"/>
      <c r="T26" s="111">
        <f>IF(S26&gt;0,R26-S26,0)</f>
        <v>0</v>
      </c>
      <c r="U26" s="117"/>
    </row>
    <row r="27" spans="1:21" x14ac:dyDescent="0.3">
      <c r="A27" s="20"/>
      <c r="B27" s="20"/>
      <c r="C27" s="20"/>
      <c r="D27" s="24" t="s">
        <v>79</v>
      </c>
      <c r="E27" s="24"/>
      <c r="F27" s="24"/>
      <c r="G27" s="25"/>
      <c r="H27" s="26"/>
      <c r="I27" s="26"/>
      <c r="J27" s="16"/>
      <c r="K27" s="16"/>
      <c r="L27" s="16"/>
      <c r="M27" s="16"/>
      <c r="N27" s="17"/>
      <c r="O27" s="16"/>
      <c r="P27" s="16"/>
      <c r="Q27" s="16"/>
      <c r="R27" s="104" t="s">
        <v>80</v>
      </c>
      <c r="S27" s="136"/>
      <c r="T27" s="134"/>
      <c r="U27" s="117"/>
    </row>
    <row r="28" spans="1:21" x14ac:dyDescent="0.3">
      <c r="A28" s="20"/>
      <c r="B28" s="20"/>
      <c r="C28" s="20"/>
      <c r="D28" s="24" t="s">
        <v>81</v>
      </c>
      <c r="E28" s="24"/>
      <c r="F28" s="24"/>
      <c r="G28" s="25"/>
      <c r="H28" s="26"/>
      <c r="I28" s="26"/>
      <c r="J28" s="16"/>
      <c r="K28" s="16"/>
      <c r="L28" s="16" t="s">
        <v>82</v>
      </c>
      <c r="M28" s="16"/>
      <c r="N28" s="17"/>
      <c r="O28" s="16"/>
      <c r="P28" s="16"/>
      <c r="Q28" s="16"/>
      <c r="R28" s="111">
        <f>R24+R26</f>
        <v>764384.1199999993</v>
      </c>
      <c r="S28" s="135"/>
      <c r="T28" s="111">
        <f>T24+T26</f>
        <v>0</v>
      </c>
      <c r="U28" s="117"/>
    </row>
  </sheetData>
  <mergeCells count="3">
    <mergeCell ref="B4:C4"/>
    <mergeCell ref="D4:E4"/>
    <mergeCell ref="D5:E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672E6-26DF-4EC2-8EC2-636D2A1C0C10}">
  <sheetPr>
    <tabColor rgb="FF00FF00"/>
  </sheetPr>
  <dimension ref="A1:U28"/>
  <sheetViews>
    <sheetView showZeros="0" workbookViewId="0">
      <selection activeCell="R26" sqref="R26"/>
    </sheetView>
  </sheetViews>
  <sheetFormatPr defaultRowHeight="14.4" x14ac:dyDescent="0.3"/>
  <cols>
    <col min="1" max="1" width="9.109375" customWidth="1"/>
    <col min="2" max="2" width="11.44140625" bestFit="1" customWidth="1"/>
    <col min="3" max="3" width="13.33203125" bestFit="1" customWidth="1"/>
    <col min="4" max="5" width="9.109375" customWidth="1"/>
    <col min="6" max="6" width="7.21875" bestFit="1" customWidth="1"/>
    <col min="7" max="7" width="6.5546875" customWidth="1"/>
    <col min="8" max="8" width="9.21875" bestFit="1" customWidth="1"/>
    <col min="9" max="9" width="7.88671875" bestFit="1" customWidth="1"/>
    <col min="10" max="11" width="5.33203125" bestFit="1" customWidth="1"/>
    <col min="12" max="12" width="11.21875" customWidth="1"/>
    <col min="13" max="13" width="11.6640625" bestFit="1" customWidth="1"/>
    <col min="14" max="14" width="6.44140625" bestFit="1" customWidth="1"/>
    <col min="15" max="15" width="7.88671875" customWidth="1"/>
    <col min="16" max="16" width="9.21875" bestFit="1" customWidth="1"/>
    <col min="17" max="17" width="8.77734375" bestFit="1" customWidth="1"/>
    <col min="18" max="19" width="10.5546875" bestFit="1" customWidth="1"/>
    <col min="20" max="20" width="10.109375" bestFit="1" customWidth="1"/>
    <col min="21" max="21" width="12.109375" bestFit="1" customWidth="1"/>
  </cols>
  <sheetData>
    <row r="1" spans="1:21" ht="15.6" x14ac:dyDescent="0.3">
      <c r="A1" s="1" t="s">
        <v>0</v>
      </c>
      <c r="B1" s="1"/>
      <c r="C1" s="1"/>
      <c r="D1" s="2"/>
      <c r="E1" s="2"/>
      <c r="F1" s="2"/>
      <c r="G1" s="1"/>
      <c r="H1" s="3"/>
      <c r="I1" s="3"/>
      <c r="J1" s="4"/>
      <c r="K1" s="4"/>
      <c r="L1" s="5"/>
      <c r="M1" s="5"/>
      <c r="N1" s="6"/>
      <c r="O1" s="7"/>
      <c r="P1" s="7"/>
      <c r="Q1" s="4"/>
      <c r="R1" s="4"/>
      <c r="S1" s="4"/>
      <c r="T1" s="8"/>
      <c r="U1" s="9"/>
    </row>
    <row r="2" spans="1:21" x14ac:dyDescent="0.3">
      <c r="A2" s="10" t="s">
        <v>1</v>
      </c>
      <c r="B2" s="11" t="s">
        <v>91</v>
      </c>
      <c r="C2" s="12" t="s">
        <v>3</v>
      </c>
      <c r="D2" s="13">
        <v>2022</v>
      </c>
      <c r="E2" s="14" t="s">
        <v>4</v>
      </c>
      <c r="F2" s="15">
        <v>25</v>
      </c>
      <c r="G2" s="16"/>
      <c r="H2" s="16"/>
      <c r="I2" s="16"/>
      <c r="J2" s="16"/>
      <c r="K2" s="16"/>
      <c r="L2" s="17"/>
      <c r="M2" s="16"/>
      <c r="N2" s="16"/>
      <c r="O2" s="18" t="s">
        <v>5</v>
      </c>
      <c r="P2" s="19">
        <v>28</v>
      </c>
      <c r="Q2" s="20"/>
      <c r="R2" s="20"/>
      <c r="S2" s="21"/>
      <c r="T2" s="22"/>
      <c r="U2" s="23"/>
    </row>
    <row r="3" spans="1:21" s="139" customFormat="1" ht="12" x14ac:dyDescent="0.25">
      <c r="A3" s="138" t="s">
        <v>85</v>
      </c>
      <c r="B3" s="20"/>
      <c r="C3" s="140">
        <v>6.17</v>
      </c>
      <c r="D3" s="24"/>
      <c r="E3" s="137" t="s">
        <v>86</v>
      </c>
      <c r="F3" s="24"/>
      <c r="G3" s="140">
        <v>4.32</v>
      </c>
      <c r="H3" s="26"/>
      <c r="I3" s="26"/>
      <c r="J3" s="16"/>
      <c r="K3" s="16"/>
      <c r="L3" s="16"/>
      <c r="M3" s="16"/>
      <c r="N3" s="17"/>
      <c r="O3" s="16"/>
      <c r="P3" s="16"/>
      <c r="Q3" s="16"/>
      <c r="R3" s="16"/>
      <c r="S3" s="16"/>
      <c r="T3" s="22"/>
      <c r="U3" s="23"/>
    </row>
    <row r="4" spans="1:21" x14ac:dyDescent="0.3">
      <c r="A4" s="27" t="s">
        <v>6</v>
      </c>
      <c r="B4" s="199" t="s">
        <v>7</v>
      </c>
      <c r="C4" s="200"/>
      <c r="D4" s="205" t="s">
        <v>8</v>
      </c>
      <c r="E4" s="206"/>
      <c r="F4" s="28" t="s">
        <v>9</v>
      </c>
      <c r="G4" s="29" t="s">
        <v>10</v>
      </c>
      <c r="H4" s="30" t="s">
        <v>11</v>
      </c>
      <c r="I4" s="30" t="s">
        <v>12</v>
      </c>
      <c r="J4" s="31" t="s">
        <v>13</v>
      </c>
      <c r="K4" s="32" t="s">
        <v>14</v>
      </c>
      <c r="L4" s="33" t="s">
        <v>15</v>
      </c>
      <c r="M4" s="33" t="s">
        <v>16</v>
      </c>
      <c r="N4" s="34" t="s">
        <v>17</v>
      </c>
      <c r="O4" s="35" t="s">
        <v>18</v>
      </c>
      <c r="P4" s="35" t="s">
        <v>19</v>
      </c>
      <c r="Q4" s="35" t="s">
        <v>15</v>
      </c>
      <c r="R4" s="36" t="s">
        <v>20</v>
      </c>
      <c r="S4" s="37" t="s">
        <v>21</v>
      </c>
      <c r="T4" s="38" t="s">
        <v>22</v>
      </c>
      <c r="U4" s="23" t="s">
        <v>23</v>
      </c>
    </row>
    <row r="5" spans="1:21" x14ac:dyDescent="0.3">
      <c r="A5" s="39"/>
      <c r="B5" s="27" t="s">
        <v>24</v>
      </c>
      <c r="C5" s="27" t="s">
        <v>25</v>
      </c>
      <c r="D5" s="207" t="s">
        <v>26</v>
      </c>
      <c r="E5" s="208"/>
      <c r="F5" s="40"/>
      <c r="G5" s="41" t="s">
        <v>27</v>
      </c>
      <c r="H5" s="39" t="s">
        <v>28</v>
      </c>
      <c r="I5" s="39" t="s">
        <v>29</v>
      </c>
      <c r="J5" s="42" t="s">
        <v>30</v>
      </c>
      <c r="K5" s="43" t="s">
        <v>31</v>
      </c>
      <c r="L5" s="44" t="s">
        <v>32</v>
      </c>
      <c r="M5" s="44" t="s">
        <v>33</v>
      </c>
      <c r="N5" s="45" t="s">
        <v>34</v>
      </c>
      <c r="O5" s="46" t="s">
        <v>35</v>
      </c>
      <c r="P5" s="46" t="s">
        <v>36</v>
      </c>
      <c r="Q5" s="46" t="s">
        <v>37</v>
      </c>
      <c r="R5" s="47" t="s">
        <v>38</v>
      </c>
      <c r="S5" s="48" t="s">
        <v>39</v>
      </c>
      <c r="T5" s="38" t="s">
        <v>40</v>
      </c>
      <c r="U5" s="23" t="s">
        <v>41</v>
      </c>
    </row>
    <row r="6" spans="1:21" x14ac:dyDescent="0.3">
      <c r="A6" s="49"/>
      <c r="B6" s="49" t="s">
        <v>42</v>
      </c>
      <c r="C6" s="49" t="s">
        <v>42</v>
      </c>
      <c r="D6" s="50" t="s">
        <v>43</v>
      </c>
      <c r="E6" s="51" t="s">
        <v>44</v>
      </c>
      <c r="F6" s="52"/>
      <c r="G6" s="53" t="s">
        <v>45</v>
      </c>
      <c r="H6" s="54" t="s">
        <v>46</v>
      </c>
      <c r="I6" s="54" t="s">
        <v>47</v>
      </c>
      <c r="J6" s="55" t="s">
        <v>46</v>
      </c>
      <c r="K6" s="56"/>
      <c r="L6" s="57" t="s">
        <v>48</v>
      </c>
      <c r="M6" s="57" t="s">
        <v>48</v>
      </c>
      <c r="N6" s="58"/>
      <c r="O6" s="59" t="s">
        <v>46</v>
      </c>
      <c r="P6" s="59" t="s">
        <v>46</v>
      </c>
      <c r="Q6" s="59" t="s">
        <v>48</v>
      </c>
      <c r="R6" s="60" t="s">
        <v>49</v>
      </c>
      <c r="S6" s="60" t="s">
        <v>49</v>
      </c>
      <c r="T6" s="38" t="s">
        <v>34</v>
      </c>
      <c r="U6" s="23" t="s">
        <v>50</v>
      </c>
    </row>
    <row r="7" spans="1:21" x14ac:dyDescent="0.3">
      <c r="A7" s="61" t="s">
        <v>51</v>
      </c>
      <c r="B7" s="62" t="s">
        <v>52</v>
      </c>
      <c r="C7" s="63" t="s">
        <v>53</v>
      </c>
      <c r="D7" s="64">
        <f>Июн!E7</f>
        <v>75979.342999999993</v>
      </c>
      <c r="E7" s="65">
        <v>75979.342999999993</v>
      </c>
      <c r="F7" s="66">
        <f t="shared" ref="F7:F8" si="0">IF(E7&gt;0,E7-D7,0)</f>
        <v>0</v>
      </c>
      <c r="G7" s="67">
        <v>60</v>
      </c>
      <c r="H7" s="68">
        <f t="shared" ref="H7:H8" si="1">F7*G7</f>
        <v>0</v>
      </c>
      <c r="I7" s="157"/>
      <c r="J7" s="70">
        <f>IF(G7&gt;0,$C$3,0)</f>
        <v>6.17</v>
      </c>
      <c r="K7" s="70">
        <f>IF(G7&gt;0,$G$3,0)</f>
        <v>4.32</v>
      </c>
      <c r="L7" s="71">
        <f t="shared" ref="L7:L8" si="2">J7*(H7-I7)+I7*K7</f>
        <v>0</v>
      </c>
      <c r="M7" s="71">
        <f>L7+L8</f>
        <v>337718.652</v>
      </c>
      <c r="N7" s="72">
        <v>8.4239417043940584E-2</v>
      </c>
      <c r="O7" s="73">
        <f>H7*N7</f>
        <v>0</v>
      </c>
      <c r="P7" s="68">
        <f t="shared" ref="P7:P8" si="3">IF($O$19&gt;0,O7*$H$19/$O$19,0)</f>
        <v>0</v>
      </c>
      <c r="Q7" s="16">
        <f>J7*P7</f>
        <v>0</v>
      </c>
      <c r="R7" s="74">
        <f t="shared" ref="R7:R8" si="4">IF(P7&gt;0,L7+Q7,L7)</f>
        <v>0</v>
      </c>
      <c r="S7" s="91">
        <f t="shared" ref="S7" si="5">R7+R8</f>
        <v>342545.29612664256</v>
      </c>
      <c r="T7" s="22">
        <f>L7+Q7</f>
        <v>0</v>
      </c>
      <c r="U7" s="23">
        <f t="shared" ref="U7:U14" si="6">IF($P$2&gt;0,H7/$P$2,0)</f>
        <v>0</v>
      </c>
    </row>
    <row r="8" spans="1:21" x14ac:dyDescent="0.3">
      <c r="A8" s="76"/>
      <c r="B8" s="77"/>
      <c r="C8" s="78"/>
      <c r="D8" s="79">
        <f>Июн!E8</f>
        <v>622.42999999999995</v>
      </c>
      <c r="E8" s="80">
        <v>1078.56</v>
      </c>
      <c r="F8" s="81">
        <f t="shared" si="0"/>
        <v>456.13</v>
      </c>
      <c r="G8" s="82">
        <f>600/5</f>
        <v>120</v>
      </c>
      <c r="H8" s="83">
        <f t="shared" si="1"/>
        <v>54735.6</v>
      </c>
      <c r="I8" s="158"/>
      <c r="J8" s="85">
        <f t="shared" ref="J8" si="7">IF(G8&gt;0,$C$3,0)</f>
        <v>6.17</v>
      </c>
      <c r="K8" s="135">
        <f t="shared" ref="K8" si="8">IF(G8&gt;0,$G$3,0)</f>
        <v>4.32</v>
      </c>
      <c r="L8" s="86">
        <f t="shared" si="2"/>
        <v>337718.652</v>
      </c>
      <c r="M8" s="86"/>
      <c r="N8" s="87">
        <v>8.4239417043940584E-2</v>
      </c>
      <c r="O8" s="83">
        <f>H8*N8</f>
        <v>4610.8950355503139</v>
      </c>
      <c r="P8" s="83">
        <f t="shared" si="3"/>
        <v>782.2761955660543</v>
      </c>
      <c r="Q8" s="88">
        <f>J8*P8</f>
        <v>4826.6441266425545</v>
      </c>
      <c r="R8" s="89">
        <f t="shared" si="4"/>
        <v>342545.29612664256</v>
      </c>
      <c r="S8" s="90"/>
      <c r="T8" s="22"/>
      <c r="U8" s="23">
        <f t="shared" si="6"/>
        <v>1954.8428571428572</v>
      </c>
    </row>
    <row r="9" spans="1:21" x14ac:dyDescent="0.3">
      <c r="A9" s="61" t="s">
        <v>54</v>
      </c>
      <c r="B9" s="62" t="s">
        <v>55</v>
      </c>
      <c r="C9" s="63" t="s">
        <v>56</v>
      </c>
      <c r="D9" s="64">
        <f>Июн!E9</f>
        <v>17303.599999999999</v>
      </c>
      <c r="E9" s="65">
        <v>17766.8</v>
      </c>
      <c r="F9" s="66">
        <f t="shared" ref="F9:F15" si="9">IF(E9&gt;0,E9-D9,0)</f>
        <v>463.20000000000073</v>
      </c>
      <c r="G9" s="67">
        <v>50</v>
      </c>
      <c r="H9" s="68">
        <f>F9*G9+F10*G10</f>
        <v>23160.000000000036</v>
      </c>
      <c r="I9" s="69"/>
      <c r="J9" s="70">
        <f t="shared" ref="J9:J16" si="10">IF(G9&gt;0,$C$3,0)</f>
        <v>6.17</v>
      </c>
      <c r="K9" s="70">
        <f t="shared" ref="K9:K16" si="11">IF(G9&gt;0,$G$3,0)</f>
        <v>4.32</v>
      </c>
      <c r="L9" s="71">
        <f t="shared" ref="L9:L13" si="12">J9*(H9-I9)+I9*K9</f>
        <v>142897.20000000022</v>
      </c>
      <c r="M9" s="71">
        <f t="shared" ref="M9" si="13">L9+L10</f>
        <v>142897.20000000022</v>
      </c>
      <c r="N9" s="72">
        <v>8.4239417043940584E-2</v>
      </c>
      <c r="O9" s="73">
        <f>H9*N9</f>
        <v>1950.984898737667</v>
      </c>
      <c r="P9" s="68">
        <f t="shared" ref="P9" si="14">IF($O$19&gt;0,O9*$H$19/$O$19,0)</f>
        <v>331.00060452995575</v>
      </c>
      <c r="Q9" s="16">
        <f>J9*P9</f>
        <v>2042.2737299498269</v>
      </c>
      <c r="R9" s="74">
        <f t="shared" ref="R9" si="15">IF(P9&gt;0,L9+Q9,L9)</f>
        <v>144939.47372995006</v>
      </c>
      <c r="S9" s="91">
        <f t="shared" ref="S9" si="16">R9+R10</f>
        <v>144939.47372995006</v>
      </c>
      <c r="T9" s="22">
        <f t="shared" ref="T9" si="17">L9+Q9</f>
        <v>144939.47372995006</v>
      </c>
      <c r="U9" s="23">
        <f t="shared" si="6"/>
        <v>827.14285714285847</v>
      </c>
    </row>
    <row r="10" spans="1:21" x14ac:dyDescent="0.3">
      <c r="A10" s="92" t="s">
        <v>57</v>
      </c>
      <c r="B10" s="77"/>
      <c r="C10" s="78"/>
      <c r="D10" s="79">
        <f>Июн!E10</f>
        <v>0</v>
      </c>
      <c r="E10" s="80"/>
      <c r="F10" s="93"/>
      <c r="G10" s="82"/>
      <c r="H10" s="83"/>
      <c r="I10" s="84"/>
      <c r="J10" s="85">
        <f t="shared" si="10"/>
        <v>0</v>
      </c>
      <c r="K10" s="135">
        <f t="shared" si="11"/>
        <v>0</v>
      </c>
      <c r="L10" s="86">
        <f t="shared" si="12"/>
        <v>0</v>
      </c>
      <c r="M10" s="86"/>
      <c r="N10" s="87"/>
      <c r="O10" s="83"/>
      <c r="P10" s="83"/>
      <c r="Q10" s="88"/>
      <c r="R10" s="89"/>
      <c r="S10" s="90"/>
      <c r="T10" s="22"/>
      <c r="U10" s="23">
        <f t="shared" si="6"/>
        <v>0</v>
      </c>
    </row>
    <row r="11" spans="1:21" x14ac:dyDescent="0.3">
      <c r="A11" s="94" t="s">
        <v>58</v>
      </c>
      <c r="B11" s="62" t="s">
        <v>55</v>
      </c>
      <c r="C11" s="63" t="s">
        <v>59</v>
      </c>
      <c r="D11" s="64">
        <f>Июн!E11</f>
        <v>88807.3</v>
      </c>
      <c r="E11" s="95">
        <v>89787.1</v>
      </c>
      <c r="F11" s="66">
        <f t="shared" si="9"/>
        <v>979.80000000000291</v>
      </c>
      <c r="G11" s="67">
        <v>60</v>
      </c>
      <c r="H11" s="68">
        <f t="shared" ref="H11:H15" si="18">F11*G11</f>
        <v>58788.000000000175</v>
      </c>
      <c r="I11" s="69"/>
      <c r="J11" s="70">
        <f t="shared" si="10"/>
        <v>6.17</v>
      </c>
      <c r="K11" s="70">
        <f t="shared" si="11"/>
        <v>4.32</v>
      </c>
      <c r="L11" s="71">
        <f t="shared" si="12"/>
        <v>362721.96000000107</v>
      </c>
      <c r="M11" s="71">
        <f t="shared" ref="M11" si="19">L11+L12</f>
        <v>362721.96000000107</v>
      </c>
      <c r="N11" s="72">
        <v>9.3867222073683532E-2</v>
      </c>
      <c r="O11" s="73">
        <f>H11*N11</f>
        <v>5518.2662512677234</v>
      </c>
      <c r="P11" s="68">
        <f t="shared" ref="P11:P14" si="20">IF($O$19&gt;0,O11*$H$19/$O$19,0)</f>
        <v>936.21917130608733</v>
      </c>
      <c r="Q11" s="16">
        <f>J11*P11</f>
        <v>5776.4722869585585</v>
      </c>
      <c r="R11" s="74">
        <f t="shared" ref="R11:R14" si="21">IF(P11&gt;0,L11+Q11,L11)</f>
        <v>368498.43228695961</v>
      </c>
      <c r="S11" s="91">
        <f t="shared" ref="S11" si="22">R11+R12</f>
        <v>368498.43228695961</v>
      </c>
      <c r="T11" s="22">
        <f t="shared" ref="T11:T14" si="23">L11+Q11</f>
        <v>368498.43228695961</v>
      </c>
      <c r="U11" s="23">
        <f t="shared" si="6"/>
        <v>2099.5714285714348</v>
      </c>
    </row>
    <row r="12" spans="1:21" x14ac:dyDescent="0.3">
      <c r="A12" s="76"/>
      <c r="B12" s="77" t="s">
        <v>55</v>
      </c>
      <c r="C12" s="78" t="s">
        <v>60</v>
      </c>
      <c r="D12" s="79">
        <f>Июн!E12</f>
        <v>3</v>
      </c>
      <c r="E12" s="80">
        <v>3</v>
      </c>
      <c r="F12" s="81">
        <f t="shared" si="9"/>
        <v>0</v>
      </c>
      <c r="G12" s="82">
        <f>400/5</f>
        <v>80</v>
      </c>
      <c r="H12" s="83">
        <f t="shared" si="18"/>
        <v>0</v>
      </c>
      <c r="I12" s="84"/>
      <c r="J12" s="85">
        <f t="shared" si="10"/>
        <v>6.17</v>
      </c>
      <c r="K12" s="135">
        <f t="shared" si="11"/>
        <v>4.32</v>
      </c>
      <c r="L12" s="86">
        <f t="shared" si="12"/>
        <v>0</v>
      </c>
      <c r="M12" s="86"/>
      <c r="N12" s="87">
        <v>9.3867222073683532E-2</v>
      </c>
      <c r="O12" s="83">
        <f>H12*N12</f>
        <v>0</v>
      </c>
      <c r="P12" s="83">
        <f t="shared" si="20"/>
        <v>0</v>
      </c>
      <c r="Q12" s="88">
        <f>J12*P12</f>
        <v>0</v>
      </c>
      <c r="R12" s="89">
        <f t="shared" si="21"/>
        <v>0</v>
      </c>
      <c r="S12" s="90"/>
      <c r="T12" s="22">
        <f t="shared" si="23"/>
        <v>0</v>
      </c>
      <c r="U12" s="23">
        <f t="shared" si="6"/>
        <v>0</v>
      </c>
    </row>
    <row r="13" spans="1:21" x14ac:dyDescent="0.3">
      <c r="A13" s="94" t="s">
        <v>61</v>
      </c>
      <c r="B13" s="62" t="s">
        <v>55</v>
      </c>
      <c r="C13" s="63" t="s">
        <v>62</v>
      </c>
      <c r="D13" s="64">
        <f>Июн!E13</f>
        <v>7770.7</v>
      </c>
      <c r="E13" s="95">
        <v>7770.7</v>
      </c>
      <c r="F13" s="66">
        <f t="shared" si="9"/>
        <v>0</v>
      </c>
      <c r="G13" s="67">
        <v>40</v>
      </c>
      <c r="H13" s="68">
        <f t="shared" si="18"/>
        <v>0</v>
      </c>
      <c r="I13" s="96"/>
      <c r="J13" s="70">
        <f t="shared" si="10"/>
        <v>6.17</v>
      </c>
      <c r="K13" s="70">
        <f t="shared" si="11"/>
        <v>4.32</v>
      </c>
      <c r="L13" s="71">
        <f t="shared" si="12"/>
        <v>0</v>
      </c>
      <c r="M13" s="71">
        <f t="shared" ref="M13" si="24">L13+L14</f>
        <v>310607.27999999968</v>
      </c>
      <c r="N13" s="72">
        <v>9.3867222073683532E-2</v>
      </c>
      <c r="O13" s="73">
        <f>H13*N13</f>
        <v>0</v>
      </c>
      <c r="P13" s="68">
        <f t="shared" si="20"/>
        <v>0</v>
      </c>
      <c r="Q13" s="16">
        <f>J13*P13</f>
        <v>0</v>
      </c>
      <c r="R13" s="74">
        <f t="shared" si="21"/>
        <v>0</v>
      </c>
      <c r="S13" s="91">
        <f t="shared" ref="S13" si="25">R13+R14</f>
        <v>315687.68285644834</v>
      </c>
      <c r="T13" s="22">
        <f t="shared" si="23"/>
        <v>0</v>
      </c>
      <c r="U13" s="23">
        <f t="shared" si="6"/>
        <v>0</v>
      </c>
    </row>
    <row r="14" spans="1:21" x14ac:dyDescent="0.3">
      <c r="A14" s="76"/>
      <c r="B14" s="77" t="s">
        <v>55</v>
      </c>
      <c r="C14" s="78" t="s">
        <v>63</v>
      </c>
      <c r="D14" s="79">
        <f>Июн!E14</f>
        <v>8939</v>
      </c>
      <c r="E14" s="80">
        <v>9585.2999999999993</v>
      </c>
      <c r="F14" s="81">
        <f t="shared" si="9"/>
        <v>646.29999999999927</v>
      </c>
      <c r="G14" s="82">
        <f>400/5</f>
        <v>80</v>
      </c>
      <c r="H14" s="83">
        <f t="shared" si="18"/>
        <v>51703.999999999942</v>
      </c>
      <c r="I14" s="84">
        <v>4544</v>
      </c>
      <c r="J14" s="85">
        <f t="shared" si="10"/>
        <v>6.17</v>
      </c>
      <c r="K14" s="135">
        <f t="shared" si="11"/>
        <v>4.32</v>
      </c>
      <c r="L14" s="86">
        <f>J14*(H14-I14)+I14*K14</f>
        <v>310607.27999999968</v>
      </c>
      <c r="M14" s="86"/>
      <c r="N14" s="87">
        <v>9.3867222073683532E-2</v>
      </c>
      <c r="O14" s="83">
        <f>H14*N14</f>
        <v>4853.3108500977278</v>
      </c>
      <c r="P14" s="83">
        <f t="shared" si="20"/>
        <v>823.40402859783876</v>
      </c>
      <c r="Q14" s="88">
        <f>J14*P14</f>
        <v>5080.4028564486653</v>
      </c>
      <c r="R14" s="89">
        <f t="shared" si="21"/>
        <v>315687.68285644834</v>
      </c>
      <c r="S14" s="98"/>
      <c r="T14" s="22">
        <f t="shared" si="23"/>
        <v>315687.68285644834</v>
      </c>
      <c r="U14" s="23">
        <f t="shared" si="6"/>
        <v>1846.5714285714264</v>
      </c>
    </row>
    <row r="15" spans="1:21" x14ac:dyDescent="0.3">
      <c r="A15" s="94" t="s">
        <v>64</v>
      </c>
      <c r="B15" s="62" t="s">
        <v>52</v>
      </c>
      <c r="C15" s="63" t="s">
        <v>65</v>
      </c>
      <c r="D15" s="99">
        <f>Июн!E15</f>
        <v>3772.558</v>
      </c>
      <c r="E15" s="100">
        <v>3900.0650000000001</v>
      </c>
      <c r="F15" s="101">
        <f t="shared" si="9"/>
        <v>127.50700000000006</v>
      </c>
      <c r="G15" s="102">
        <v>1500</v>
      </c>
      <c r="H15" s="68">
        <f t="shared" si="18"/>
        <v>191260.50000000009</v>
      </c>
      <c r="I15" s="69">
        <f>SUM(I7:I14)</f>
        <v>4544</v>
      </c>
      <c r="J15" s="70">
        <f t="shared" si="10"/>
        <v>6.17</v>
      </c>
      <c r="K15" s="70">
        <f t="shared" si="11"/>
        <v>4.32</v>
      </c>
      <c r="L15" s="103">
        <f t="shared" ref="L15:L16" si="26">J15*(H15-I15)+I15*K15</f>
        <v>1171670.8850000007</v>
      </c>
      <c r="M15" s="103"/>
      <c r="N15" s="72"/>
      <c r="O15" s="73"/>
      <c r="P15" s="68"/>
      <c r="Q15" s="16"/>
      <c r="R15" s="103"/>
      <c r="S15" s="104"/>
      <c r="T15" s="22"/>
      <c r="U15" s="23"/>
    </row>
    <row r="16" spans="1:21" x14ac:dyDescent="0.3">
      <c r="A16" s="76" t="s">
        <v>66</v>
      </c>
      <c r="B16" s="77"/>
      <c r="C16" s="78"/>
      <c r="D16" s="105">
        <f>Июн!E16</f>
        <v>0</v>
      </c>
      <c r="E16" s="106"/>
      <c r="F16" s="107"/>
      <c r="G16" s="108"/>
      <c r="H16" s="83"/>
      <c r="I16" s="84"/>
      <c r="J16" s="85">
        <f t="shared" si="10"/>
        <v>0</v>
      </c>
      <c r="K16" s="135">
        <f t="shared" si="11"/>
        <v>0</v>
      </c>
      <c r="L16" s="109">
        <f t="shared" si="26"/>
        <v>0</v>
      </c>
      <c r="M16" s="109"/>
      <c r="N16" s="87"/>
      <c r="O16" s="83"/>
      <c r="P16" s="83"/>
      <c r="Q16" s="88"/>
      <c r="R16" s="110"/>
      <c r="S16" s="111"/>
      <c r="T16" s="22"/>
      <c r="U16" s="23"/>
    </row>
    <row r="17" spans="1:21" x14ac:dyDescent="0.3">
      <c r="A17" s="20"/>
      <c r="B17" s="20"/>
      <c r="C17" s="20"/>
      <c r="D17" s="24"/>
      <c r="E17" s="24"/>
      <c r="F17" s="24"/>
      <c r="G17" s="112"/>
      <c r="H17" s="26"/>
      <c r="I17" s="26"/>
      <c r="J17" s="16"/>
      <c r="K17" s="16"/>
      <c r="L17" s="113"/>
      <c r="M17" s="113"/>
      <c r="N17" s="17"/>
      <c r="O17" s="16"/>
      <c r="P17" s="16"/>
      <c r="Q17" s="16"/>
      <c r="R17" s="16"/>
      <c r="S17" s="16"/>
      <c r="T17" s="22"/>
      <c r="U17" s="23"/>
    </row>
    <row r="18" spans="1:21" x14ac:dyDescent="0.3">
      <c r="A18" s="114"/>
      <c r="B18" s="114"/>
      <c r="C18" s="114"/>
      <c r="D18" s="115"/>
      <c r="E18" s="24"/>
      <c r="F18" s="24"/>
      <c r="G18" s="116" t="s">
        <v>67</v>
      </c>
      <c r="H18" s="26">
        <f>SUM(H7:H14)</f>
        <v>188387.60000000015</v>
      </c>
      <c r="I18" s="26"/>
      <c r="J18" s="20" t="s">
        <v>46</v>
      </c>
      <c r="K18" s="20"/>
      <c r="L18" s="16"/>
      <c r="M18" s="16"/>
      <c r="N18" s="17"/>
      <c r="O18" s="16"/>
      <c r="P18" s="16"/>
      <c r="Q18" s="16"/>
      <c r="R18" s="16"/>
      <c r="S18" s="16"/>
      <c r="T18" s="22"/>
      <c r="U18" s="23"/>
    </row>
    <row r="19" spans="1:21" x14ac:dyDescent="0.3">
      <c r="A19" s="117"/>
      <c r="B19" s="117"/>
      <c r="C19" s="117"/>
      <c r="D19" s="118"/>
      <c r="E19" s="24"/>
      <c r="F19" s="24"/>
      <c r="G19" s="116" t="s">
        <v>68</v>
      </c>
      <c r="H19" s="26">
        <f>IF(H15&gt;0,H15-H18,0)</f>
        <v>2872.899999999936</v>
      </c>
      <c r="I19" s="26"/>
      <c r="J19" s="20" t="s">
        <v>46</v>
      </c>
      <c r="K19" s="20"/>
      <c r="L19" s="16"/>
      <c r="M19" s="16"/>
      <c r="N19" s="17"/>
      <c r="O19" s="26">
        <f>SUM(O7:O14)</f>
        <v>16933.457035653431</v>
      </c>
      <c r="P19" s="16">
        <f>SUM(P7:P14)</f>
        <v>2872.899999999936</v>
      </c>
      <c r="Q19" s="16">
        <f>SUM(Q7:Q16)</f>
        <v>17725.792999999605</v>
      </c>
      <c r="R19" s="119">
        <f>SUM(R7:R14)</f>
        <v>1171670.8850000007</v>
      </c>
      <c r="S19" s="119"/>
      <c r="T19" s="120">
        <f>SUM(T7:T14)</f>
        <v>829125.58887335798</v>
      </c>
      <c r="U19" s="20"/>
    </row>
    <row r="20" spans="1:21" x14ac:dyDescent="0.3">
      <c r="A20" s="117"/>
      <c r="B20" s="117"/>
      <c r="C20" s="117"/>
      <c r="D20" s="118"/>
      <c r="E20" s="24"/>
      <c r="F20" s="24"/>
      <c r="G20" s="116" t="s">
        <v>69</v>
      </c>
      <c r="H20" s="17">
        <f>IF(H15&gt;0,H19/H15,0)</f>
        <v>1.5020874670932757E-2</v>
      </c>
      <c r="I20" s="17"/>
      <c r="J20" s="16"/>
      <c r="K20" s="16"/>
      <c r="L20" s="16"/>
      <c r="M20" s="16"/>
      <c r="N20" s="17"/>
      <c r="O20" s="16"/>
      <c r="P20" s="16"/>
      <c r="Q20" s="16"/>
      <c r="R20" s="16"/>
      <c r="S20" s="16"/>
      <c r="T20" s="22"/>
      <c r="U20" s="20"/>
    </row>
    <row r="21" spans="1:21" x14ac:dyDescent="0.3">
      <c r="A21" s="117"/>
      <c r="B21" s="117"/>
      <c r="C21" s="117"/>
      <c r="D21" s="118"/>
      <c r="E21" s="24"/>
      <c r="F21" s="24"/>
      <c r="G21" s="25"/>
      <c r="H21" s="16"/>
      <c r="I21" s="16"/>
      <c r="J21" s="16"/>
      <c r="K21" s="16"/>
      <c r="L21" s="16"/>
      <c r="M21" s="16"/>
      <c r="N21" s="17"/>
      <c r="O21" s="16"/>
      <c r="P21" s="16"/>
      <c r="Q21" s="16"/>
      <c r="R21" s="16"/>
      <c r="S21" s="16"/>
      <c r="T21" s="22"/>
      <c r="U21" s="20"/>
    </row>
    <row r="22" spans="1:21" x14ac:dyDescent="0.3">
      <c r="A22" s="117"/>
      <c r="B22" s="117"/>
      <c r="C22" s="117"/>
      <c r="D22" s="118"/>
      <c r="E22" s="24"/>
      <c r="F22" s="24"/>
      <c r="G22" s="25"/>
      <c r="H22" s="16"/>
      <c r="I22" s="16"/>
      <c r="J22" s="16"/>
      <c r="K22" s="16"/>
      <c r="L22" s="16"/>
      <c r="M22" s="16"/>
      <c r="N22" s="17"/>
      <c r="O22" s="16"/>
      <c r="P22" s="16"/>
      <c r="Q22" s="16"/>
      <c r="R22" s="121" t="s">
        <v>70</v>
      </c>
      <c r="S22" s="122" t="s">
        <v>71</v>
      </c>
      <c r="T22" s="122" t="s">
        <v>72</v>
      </c>
      <c r="U22" s="20"/>
    </row>
    <row r="23" spans="1:21" x14ac:dyDescent="0.3">
      <c r="A23" s="123"/>
      <c r="B23" s="123"/>
      <c r="C23" s="123"/>
      <c r="D23" s="124"/>
      <c r="E23" s="124"/>
      <c r="F23" s="124"/>
      <c r="G23" s="125" t="s">
        <v>73</v>
      </c>
      <c r="H23" s="119">
        <f>H11+H12+H13+H14</f>
        <v>110492.00000000012</v>
      </c>
      <c r="I23" s="119"/>
      <c r="J23" s="119"/>
      <c r="K23" s="119"/>
      <c r="L23" s="119"/>
      <c r="M23" s="119"/>
      <c r="N23" s="123"/>
      <c r="O23" s="126" t="s">
        <v>74</v>
      </c>
      <c r="P23" s="127">
        <v>110492.00000000012</v>
      </c>
      <c r="Q23" s="119"/>
      <c r="R23" s="75" t="s">
        <v>75</v>
      </c>
      <c r="S23" s="128"/>
      <c r="T23" s="129"/>
      <c r="U23" s="123"/>
    </row>
    <row r="24" spans="1:21" x14ac:dyDescent="0.3">
      <c r="A24" s="130"/>
      <c r="B24" s="130"/>
      <c r="C24" s="130"/>
      <c r="D24" s="124"/>
      <c r="E24" s="124"/>
      <c r="F24" s="124"/>
      <c r="G24" s="125" t="s">
        <v>76</v>
      </c>
      <c r="H24" s="119">
        <f>L11+L12+L13+L14</f>
        <v>673329.24000000069</v>
      </c>
      <c r="I24" s="119"/>
      <c r="J24" s="119"/>
      <c r="K24" s="119"/>
      <c r="L24" s="119"/>
      <c r="M24" s="119"/>
      <c r="N24" s="131"/>
      <c r="O24" s="126" t="s">
        <v>77</v>
      </c>
      <c r="P24" s="127">
        <v>673329.24000000069</v>
      </c>
      <c r="Q24" s="119"/>
      <c r="R24" s="98">
        <f>M13</f>
        <v>310607.27999999968</v>
      </c>
      <c r="S24" s="132"/>
      <c r="T24" s="98">
        <f>IF(S24&gt;0,R24-S24,0)</f>
        <v>0</v>
      </c>
      <c r="U24" s="117"/>
    </row>
    <row r="25" spans="1:21" x14ac:dyDescent="0.3">
      <c r="A25" s="133"/>
      <c r="B25" s="133"/>
      <c r="C25" s="133"/>
      <c r="D25" s="24"/>
      <c r="E25" s="24"/>
      <c r="F25" s="24"/>
      <c r="G25" s="25"/>
      <c r="H25" s="16"/>
      <c r="I25" s="16"/>
      <c r="J25" s="16"/>
      <c r="K25" s="16"/>
      <c r="L25" s="16"/>
      <c r="M25" s="16"/>
      <c r="N25" s="17"/>
      <c r="O25" s="16"/>
      <c r="P25" s="16"/>
      <c r="Q25" s="16"/>
      <c r="R25" s="104" t="s">
        <v>78</v>
      </c>
      <c r="S25" s="128"/>
      <c r="T25" s="134"/>
      <c r="U25" s="117"/>
    </row>
    <row r="26" spans="1:21" x14ac:dyDescent="0.3">
      <c r="A26" s="20"/>
      <c r="B26" s="20"/>
      <c r="C26" s="20"/>
      <c r="D26" s="24"/>
      <c r="E26" s="24"/>
      <c r="F26" s="24"/>
      <c r="G26" s="25"/>
      <c r="H26" s="26"/>
      <c r="I26" s="26"/>
      <c r="J26" s="16"/>
      <c r="K26" s="16"/>
      <c r="L26" s="16"/>
      <c r="M26" s="16"/>
      <c r="N26" s="17"/>
      <c r="O26" s="16"/>
      <c r="P26" s="16"/>
      <c r="Q26" s="16"/>
      <c r="R26" s="111">
        <f>M11</f>
        <v>362721.96000000107</v>
      </c>
      <c r="S26" s="135"/>
      <c r="T26" s="111">
        <f>IF(S26&gt;0,R26-S26,0)</f>
        <v>0</v>
      </c>
      <c r="U26" s="117"/>
    </row>
    <row r="27" spans="1:21" x14ac:dyDescent="0.3">
      <c r="A27" s="20"/>
      <c r="B27" s="20"/>
      <c r="C27" s="20"/>
      <c r="D27" s="24" t="s">
        <v>79</v>
      </c>
      <c r="E27" s="24"/>
      <c r="F27" s="24"/>
      <c r="G27" s="25"/>
      <c r="H27" s="26"/>
      <c r="I27" s="26"/>
      <c r="J27" s="16"/>
      <c r="K27" s="16"/>
      <c r="L27" s="16"/>
      <c r="M27" s="16"/>
      <c r="N27" s="17"/>
      <c r="O27" s="16"/>
      <c r="P27" s="16"/>
      <c r="Q27" s="16"/>
      <c r="R27" s="104" t="s">
        <v>80</v>
      </c>
      <c r="S27" s="136"/>
      <c r="T27" s="134"/>
      <c r="U27" s="117"/>
    </row>
    <row r="28" spans="1:21" x14ac:dyDescent="0.3">
      <c r="A28" s="20"/>
      <c r="B28" s="20"/>
      <c r="C28" s="20"/>
      <c r="D28" s="24" t="s">
        <v>81</v>
      </c>
      <c r="E28" s="24"/>
      <c r="F28" s="24"/>
      <c r="G28" s="25"/>
      <c r="H28" s="26"/>
      <c r="I28" s="26"/>
      <c r="J28" s="16"/>
      <c r="K28" s="16"/>
      <c r="L28" s="16" t="s">
        <v>82</v>
      </c>
      <c r="M28" s="16"/>
      <c r="N28" s="17"/>
      <c r="O28" s="16"/>
      <c r="P28" s="16"/>
      <c r="Q28" s="16"/>
      <c r="R28" s="111">
        <f>R24+R26</f>
        <v>673329.24000000069</v>
      </c>
      <c r="S28" s="135"/>
      <c r="T28" s="111">
        <f>T24+T26</f>
        <v>0</v>
      </c>
      <c r="U28" s="117"/>
    </row>
  </sheetData>
  <mergeCells count="3">
    <mergeCell ref="B4:C4"/>
    <mergeCell ref="D4:E4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Декабрь пред.</vt:lpstr>
      <vt:lpstr>Янв</vt:lpstr>
      <vt:lpstr>Фев</vt:lpstr>
      <vt:lpstr>Мар</vt:lpstr>
      <vt:lpstr>Апр</vt:lpstr>
      <vt:lpstr>Май</vt:lpstr>
      <vt:lpstr>Май 1%потерь</vt:lpstr>
      <vt:lpstr>Июн</vt:lpstr>
      <vt:lpstr>Июл</vt:lpstr>
      <vt:lpstr>Авг</vt:lpstr>
      <vt:lpstr>Сен</vt:lpstr>
      <vt:lpstr>Окт</vt:lpstr>
      <vt:lpstr>Ноя</vt:lpstr>
      <vt:lpstr>Дек</vt:lpstr>
      <vt:lpstr>ЭП по мес</vt:lpstr>
      <vt:lpstr>Потери по мес</vt:lpstr>
      <vt:lpstr>Сен!Область_печати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cp:lastPrinted>2022-09-26T12:20:43Z</cp:lastPrinted>
  <dcterms:created xsi:type="dcterms:W3CDTF">2015-06-05T18:19:34Z</dcterms:created>
  <dcterms:modified xsi:type="dcterms:W3CDTF">2022-11-25T11:04:41Z</dcterms:modified>
</cp:coreProperties>
</file>