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7795" windowHeight="12330"/>
  </bookViews>
  <sheets>
    <sheet name="Лист" sheetId="4" r:id="rId1"/>
    <sheet name="Труба" sheetId="1" r:id="rId2"/>
    <sheet name="Строит-й сорт" sheetId="2" r:id="rId3"/>
    <sheet name="Машиностроит-й.сорт" sheetId="5" r:id="rId4"/>
    <sheet name="Детали трубопровода" sheetId="7" r:id="rId5"/>
    <sheet name="Металлоконструкции и соед.детал" sheetId="6" r:id="rId6"/>
  </sheets>
  <definedNames>
    <definedName name="_xlnm._FilterDatabase" localSheetId="4" hidden="1">'Детали трубопровода'!$B$1:$C$1584</definedName>
    <definedName name="_xlnm._FilterDatabase" localSheetId="0" hidden="1">Лист!$B$4:$F$606</definedName>
    <definedName name="_xlnm._FilterDatabase" localSheetId="3" hidden="1">'Машиностроит-й.сорт'!$B$4:$F$4083</definedName>
    <definedName name="_xlnm._FilterDatabase" localSheetId="2" hidden="1">'Строит-й сорт'!$B$4:$F$108</definedName>
    <definedName name="_xlnm._FilterDatabase" localSheetId="1" hidden="1">Труба!$B$4:$H$1110</definedName>
  </definedNames>
  <calcPr calcId="145621" refMode="R1C1"/>
</workbook>
</file>

<file path=xl/calcChain.xml><?xml version="1.0" encoding="utf-8"?>
<calcChain xmlns="http://schemas.openxmlformats.org/spreadsheetml/2006/main">
  <c r="H1045" i="1" l="1"/>
  <c r="H1047" i="1"/>
  <c r="H1067" i="1"/>
  <c r="H1069" i="1"/>
  <c r="H1081" i="1"/>
  <c r="H1091" i="1"/>
  <c r="H1037" i="1"/>
  <c r="H1016" i="1"/>
  <c r="H1015" i="1"/>
  <c r="H1010" i="1"/>
  <c r="H986" i="1"/>
  <c r="H985" i="1"/>
  <c r="H969" i="1"/>
  <c r="H966" i="1"/>
  <c r="H964" i="1"/>
  <c r="H960" i="1"/>
  <c r="H944" i="1"/>
  <c r="H914" i="1"/>
  <c r="H909" i="1"/>
  <c r="H908" i="1"/>
  <c r="H866" i="1"/>
  <c r="H860" i="1"/>
  <c r="H849" i="1"/>
  <c r="H844" i="1"/>
  <c r="H835" i="1"/>
  <c r="H771" i="1"/>
  <c r="H770" i="1"/>
  <c r="H749" i="1"/>
  <c r="H722" i="1"/>
  <c r="H671" i="1"/>
  <c r="H669" i="1"/>
  <c r="H643" i="1"/>
  <c r="H636" i="1"/>
  <c r="H635" i="1"/>
  <c r="H602" i="1"/>
  <c r="H566" i="1"/>
  <c r="H565" i="1"/>
  <c r="H536" i="1"/>
  <c r="H497" i="1"/>
  <c r="H490" i="1"/>
  <c r="H432" i="1"/>
  <c r="H427" i="1"/>
  <c r="H351" i="1"/>
  <c r="H200" i="1"/>
  <c r="H199" i="1"/>
  <c r="H174" i="1"/>
  <c r="H168" i="1"/>
  <c r="H167" i="1"/>
  <c r="H159" i="1"/>
  <c r="H161" i="1"/>
  <c r="H157" i="1"/>
  <c r="H116" i="1"/>
  <c r="H59" i="1"/>
  <c r="H49" i="1"/>
  <c r="F602" i="4"/>
  <c r="F601" i="4"/>
  <c r="F598" i="4"/>
  <c r="F3885" i="5"/>
  <c r="H622" i="1" l="1"/>
  <c r="H344" i="1"/>
  <c r="H298" i="1"/>
  <c r="H288" i="1"/>
  <c r="H1043" i="1"/>
  <c r="F1850" i="5" l="1"/>
  <c r="F1849" i="5"/>
  <c r="F1814" i="5"/>
  <c r="F1818" i="5"/>
  <c r="F1808" i="5"/>
  <c r="F1817" i="5"/>
  <c r="F1841" i="5"/>
  <c r="F1821" i="5"/>
  <c r="F1858" i="5"/>
  <c r="F1857" i="5"/>
  <c r="F71" i="5"/>
  <c r="F1869" i="5"/>
  <c r="F1798" i="5"/>
  <c r="F1832" i="5"/>
  <c r="F1820" i="5"/>
  <c r="F1854" i="5"/>
  <c r="F1831" i="5"/>
  <c r="F1823" i="5"/>
  <c r="F1874" i="5"/>
  <c r="F4044" i="5"/>
  <c r="F3898" i="5"/>
  <c r="F3935" i="5"/>
  <c r="F4012" i="5"/>
  <c r="F3959" i="5"/>
  <c r="F3995" i="5"/>
  <c r="F3936" i="5"/>
  <c r="F3896" i="5"/>
  <c r="F3455" i="5"/>
  <c r="F2654" i="5"/>
  <c r="F2651" i="5"/>
  <c r="F2185" i="5"/>
  <c r="F2184" i="5"/>
  <c r="F2644" i="5"/>
  <c r="F2642" i="5"/>
  <c r="F2178" i="5"/>
  <c r="F2177" i="5"/>
  <c r="F2067" i="5"/>
  <c r="F3840" i="5"/>
  <c r="F3219" i="5"/>
  <c r="F3610" i="5"/>
  <c r="F2041" i="5"/>
  <c r="F2611" i="5"/>
  <c r="F2610" i="5"/>
  <c r="F2040" i="5"/>
  <c r="F3545" i="5"/>
  <c r="F2785" i="5"/>
  <c r="F3544" i="5"/>
  <c r="F3605" i="5"/>
  <c r="F3425" i="5"/>
  <c r="F3422" i="5"/>
  <c r="F3420" i="5"/>
  <c r="F3418" i="5"/>
  <c r="F2575" i="5"/>
  <c r="F2574" i="5"/>
  <c r="F2573" i="5"/>
  <c r="F2034" i="5"/>
  <c r="F3104" i="5"/>
  <c r="F2161" i="5"/>
  <c r="F2159" i="5"/>
  <c r="F2158" i="5"/>
  <c r="F2551" i="5"/>
  <c r="F2549" i="5"/>
  <c r="F2030" i="5"/>
  <c r="F2547" i="5"/>
  <c r="F2544" i="5"/>
  <c r="F3829" i="5"/>
  <c r="F2543" i="5"/>
  <c r="F2542" i="5"/>
  <c r="F2541" i="5"/>
  <c r="F3092" i="5"/>
  <c r="F2533" i="5"/>
  <c r="F2531" i="5"/>
  <c r="F2761" i="5"/>
  <c r="F2525" i="5"/>
  <c r="F2524" i="5"/>
  <c r="F2857" i="5"/>
  <c r="F2517" i="5"/>
  <c r="F2758" i="5"/>
  <c r="F2505" i="5"/>
  <c r="F2504" i="5"/>
  <c r="F3538" i="5"/>
  <c r="F3374" i="5"/>
  <c r="F3818" i="5"/>
  <c r="F3083" i="5"/>
  <c r="F3082" i="5"/>
  <c r="F3814" i="5"/>
  <c r="F2143" i="5"/>
  <c r="F3535" i="5"/>
  <c r="F2483" i="5"/>
  <c r="F2141" i="5"/>
  <c r="F2002" i="5"/>
  <c r="F3604" i="5"/>
  <c r="F3185" i="5"/>
  <c r="F3357" i="5"/>
  <c r="F2473" i="5"/>
  <c r="F2000" i="5"/>
  <c r="F3184" i="5"/>
  <c r="F3809" i="5"/>
  <c r="F2464" i="5"/>
  <c r="F2463" i="5"/>
  <c r="F2789" i="5"/>
  <c r="F3073" i="5"/>
  <c r="F2462" i="5"/>
  <c r="F3349" i="5"/>
  <c r="F2745" i="5"/>
  <c r="F2456" i="5"/>
  <c r="F1985" i="5"/>
  <c r="F2818" i="5"/>
  <c r="F3802" i="5"/>
  <c r="F2894" i="5"/>
  <c r="F3068" i="5"/>
  <c r="F3067" i="5"/>
  <c r="F3717" i="5"/>
  <c r="F3339" i="5"/>
  <c r="F2452" i="5"/>
  <c r="F2444" i="5"/>
  <c r="F2441" i="5"/>
  <c r="F2440" i="5"/>
  <c r="F2439" i="5"/>
  <c r="F3060" i="5"/>
  <c r="F3710" i="5"/>
  <c r="F3335" i="5"/>
  <c r="F2134" i="5"/>
  <c r="F2793" i="5"/>
  <c r="F3794" i="5"/>
  <c r="F3330" i="5"/>
  <c r="F2431" i="5"/>
  <c r="F2428" i="5"/>
  <c r="F3623" i="5"/>
  <c r="F3524" i="5"/>
  <c r="F3793" i="5"/>
  <c r="F2426" i="5"/>
  <c r="F2980" i="5"/>
  <c r="F3707" i="5"/>
  <c r="F3324" i="5"/>
  <c r="F2423" i="5"/>
  <c r="F2422" i="5"/>
  <c r="F2420" i="5"/>
  <c r="F2419" i="5"/>
  <c r="F2735" i="5"/>
  <c r="F2734" i="5"/>
  <c r="F2409" i="5"/>
  <c r="F3594" i="5"/>
  <c r="F3517" i="5"/>
  <c r="F3314" i="5"/>
  <c r="F2730" i="5"/>
  <c r="F2729" i="5"/>
  <c r="F1963" i="5"/>
  <c r="F3312" i="5"/>
  <c r="F3309" i="5"/>
  <c r="F2400" i="5"/>
  <c r="F3050" i="5"/>
  <c r="F3786" i="5"/>
  <c r="F1955" i="5"/>
  <c r="F2963" i="5"/>
  <c r="F3782" i="5"/>
  <c r="F2383" i="5"/>
  <c r="F2122" i="5"/>
  <c r="F2721" i="5"/>
  <c r="F3035" i="5"/>
  <c r="F2874" i="5"/>
  <c r="F1951" i="5"/>
  <c r="F3584" i="5"/>
  <c r="F2960" i="5"/>
  <c r="F3296" i="5"/>
  <c r="F2372" i="5"/>
  <c r="F2717" i="5"/>
  <c r="F2714" i="5"/>
  <c r="F2830" i="5"/>
  <c r="F3288" i="5"/>
  <c r="F2366" i="5"/>
  <c r="F1944" i="5"/>
  <c r="F1942" i="5"/>
  <c r="F2847" i="5"/>
  <c r="F2834" i="5"/>
  <c r="F3581" i="5"/>
  <c r="F3026" i="5"/>
  <c r="F3025" i="5"/>
  <c r="F3501" i="5"/>
  <c r="F3286" i="5"/>
  <c r="F3774" i="5"/>
  <c r="F3773" i="5"/>
  <c r="F2364" i="5"/>
  <c r="F2363" i="5"/>
  <c r="F2362" i="5"/>
  <c r="F1941" i="5"/>
  <c r="F2884" i="5"/>
  <c r="F1940" i="5"/>
  <c r="F1937" i="5"/>
  <c r="F1936" i="5"/>
  <c r="F3023" i="5"/>
  <c r="F3693" i="5"/>
  <c r="F3498" i="5"/>
  <c r="F3497" i="5"/>
  <c r="F3279" i="5"/>
  <c r="F3276" i="5"/>
  <c r="F2358" i="5"/>
  <c r="F2353" i="5"/>
  <c r="F2119" i="5"/>
  <c r="F2707" i="5"/>
  <c r="F1931" i="5"/>
  <c r="F3493" i="5"/>
  <c r="F3274" i="5"/>
  <c r="F2342" i="5"/>
  <c r="F2705" i="5"/>
  <c r="F2703" i="5"/>
  <c r="F2341" i="5"/>
  <c r="F3020" i="5"/>
  <c r="F3018" i="5"/>
  <c r="F2972" i="5"/>
  <c r="F2670" i="5"/>
  <c r="F2669" i="5"/>
  <c r="F2338" i="5"/>
  <c r="F2333" i="5"/>
  <c r="F2701" i="5"/>
  <c r="F1927" i="5"/>
  <c r="F2843" i="5"/>
  <c r="F3578" i="5"/>
  <c r="F3016" i="5"/>
  <c r="F3689" i="5"/>
  <c r="F3486" i="5"/>
  <c r="F3267" i="5"/>
  <c r="F3266" i="5"/>
  <c r="F2667" i="5"/>
  <c r="F2666" i="5"/>
  <c r="F2329" i="5"/>
  <c r="F1925" i="5"/>
  <c r="F1922" i="5"/>
  <c r="F2918" i="5"/>
  <c r="F3013" i="5"/>
  <c r="F3688" i="5"/>
  <c r="F1920" i="5"/>
  <c r="F3009" i="5"/>
  <c r="F3686" i="5"/>
  <c r="F3259" i="5"/>
  <c r="F3258" i="5"/>
  <c r="F3257" i="5"/>
  <c r="F3256" i="5"/>
  <c r="F3764" i="5"/>
  <c r="F2664" i="5"/>
  <c r="F2316" i="5"/>
  <c r="F2312" i="5"/>
  <c r="F2311" i="5"/>
  <c r="F2310" i="5"/>
  <c r="F3003" i="5"/>
  <c r="F3002" i="5"/>
  <c r="F2802" i="5"/>
  <c r="F2970" i="5"/>
  <c r="F2306" i="5"/>
  <c r="F2106" i="5"/>
  <c r="F2102" i="5"/>
  <c r="F2800" i="5"/>
  <c r="F3572" i="5"/>
  <c r="F3001" i="5"/>
  <c r="F3000" i="5"/>
  <c r="F2999" i="5"/>
  <c r="F3683" i="5"/>
  <c r="F3475" i="5"/>
  <c r="F3252" i="5"/>
  <c r="F3251" i="5"/>
  <c r="F3762" i="5"/>
  <c r="F2300" i="5"/>
  <c r="F2295" i="5"/>
  <c r="F2691" i="5"/>
  <c r="F2690" i="5"/>
  <c r="F1911" i="5"/>
  <c r="F3194" i="5"/>
  <c r="F3473" i="5"/>
  <c r="F3240" i="5"/>
  <c r="F1909" i="5"/>
  <c r="F2995" i="5"/>
  <c r="F2994" i="5"/>
  <c r="F3464" i="5"/>
  <c r="F3236" i="5"/>
  <c r="F3235" i="5"/>
  <c r="F2274" i="5"/>
  <c r="F2688" i="5"/>
  <c r="F1905" i="5"/>
  <c r="F2835" i="5"/>
  <c r="F1590" i="5"/>
  <c r="F1488" i="5"/>
  <c r="F1487" i="5"/>
  <c r="F1702" i="5"/>
  <c r="F1580" i="5"/>
  <c r="F1708" i="5"/>
  <c r="F1410" i="5"/>
  <c r="F1408" i="5"/>
  <c r="F1405" i="5"/>
  <c r="F281" i="5"/>
  <c r="F279" i="5"/>
  <c r="F278" i="5"/>
  <c r="F174" i="5"/>
  <c r="F1441" i="5"/>
  <c r="F1424" i="5"/>
  <c r="F1315" i="5"/>
  <c r="F1314" i="5"/>
  <c r="F145" i="5"/>
  <c r="F490" i="5"/>
  <c r="F1438" i="5"/>
  <c r="F1486" i="5"/>
  <c r="F1484" i="5"/>
  <c r="F1642" i="5"/>
  <c r="F765" i="5"/>
  <c r="F735" i="5"/>
  <c r="F734" i="5"/>
  <c r="F733" i="5"/>
  <c r="F1400" i="5"/>
  <c r="F1398" i="5"/>
  <c r="F271" i="5"/>
  <c r="F1396" i="5"/>
  <c r="F1422" i="5"/>
  <c r="F1420" i="5"/>
  <c r="F1312" i="5"/>
  <c r="F143" i="5"/>
  <c r="F1502" i="5"/>
  <c r="F1451" i="5"/>
  <c r="F489" i="5"/>
  <c r="F1482" i="5"/>
  <c r="F1462" i="5"/>
  <c r="F1577" i="5"/>
  <c r="F1553" i="5"/>
  <c r="F729" i="5"/>
  <c r="F266" i="5"/>
  <c r="F1391" i="5"/>
  <c r="F1390" i="5"/>
  <c r="F260" i="5"/>
  <c r="F412" i="5"/>
  <c r="F141" i="5"/>
  <c r="F1450" i="5"/>
  <c r="F1461" i="5"/>
  <c r="F1698" i="5"/>
  <c r="F1574" i="5"/>
  <c r="F1572" i="5"/>
  <c r="F1544" i="5"/>
  <c r="F723" i="5"/>
  <c r="F1384" i="5"/>
  <c r="F1542" i="5"/>
  <c r="F1381" i="5"/>
  <c r="F1437" i="5"/>
  <c r="F1585" i="5"/>
  <c r="F1524" i="5"/>
  <c r="F1472" i="5"/>
  <c r="F1569" i="5"/>
  <c r="F1538" i="5"/>
  <c r="F1705" i="5"/>
  <c r="F1374" i="5"/>
  <c r="F307" i="5"/>
  <c r="F1304" i="5"/>
  <c r="F100" i="5"/>
  <c r="F714" i="5"/>
  <c r="F139" i="5"/>
  <c r="F1689" i="5"/>
  <c r="F232" i="5"/>
  <c r="F1364" i="5"/>
  <c r="F399" i="5"/>
  <c r="F1435" i="5"/>
  <c r="F1688" i="5"/>
  <c r="F397" i="5"/>
  <c r="F1687" i="5"/>
  <c r="F827" i="5"/>
  <c r="F1430" i="5"/>
  <c r="F1459" i="5"/>
  <c r="F517" i="5"/>
  <c r="F664" i="5"/>
  <c r="F747" i="5"/>
  <c r="F516" i="5"/>
  <c r="F863" i="5"/>
  <c r="F1202" i="5"/>
  <c r="F1181" i="5"/>
  <c r="F956" i="5"/>
  <c r="F48" i="5"/>
  <c r="F59" i="5"/>
  <c r="F533" i="5"/>
  <c r="F335" i="5"/>
  <c r="F1060" i="5"/>
  <c r="F1133" i="5"/>
  <c r="F794" i="5"/>
  <c r="F792" i="5"/>
  <c r="F508" i="5"/>
  <c r="F35" i="5"/>
  <c r="F37" i="5"/>
  <c r="F1200" i="5"/>
  <c r="F344" i="5"/>
  <c r="F33" i="5"/>
  <c r="F207" i="5"/>
  <c r="F206" i="5"/>
  <c r="F102" i="5"/>
  <c r="F1447" i="5"/>
  <c r="F1180" i="5"/>
  <c r="F531" i="5"/>
  <c r="F577" i="5"/>
  <c r="F1644" i="5"/>
  <c r="F1175" i="5"/>
  <c r="F470" i="5"/>
  <c r="F743" i="5"/>
  <c r="F636" i="5"/>
  <c r="F709" i="5"/>
  <c r="F872" i="5"/>
  <c r="F670" i="5"/>
  <c r="F669" i="5"/>
  <c r="F43" i="5"/>
  <c r="F476" i="5"/>
  <c r="F811" i="5"/>
  <c r="F1198" i="5"/>
  <c r="F1222" i="5"/>
  <c r="F612" i="5"/>
  <c r="F342" i="5"/>
  <c r="F369" i="5"/>
  <c r="F366" i="5"/>
  <c r="F1052" i="5"/>
  <c r="F756" i="5"/>
  <c r="F755" i="5"/>
  <c r="F204" i="5"/>
  <c r="F742" i="5"/>
  <c r="F469" i="5"/>
  <c r="F861" i="5"/>
  <c r="F1167" i="5"/>
  <c r="F1050" i="5"/>
  <c r="F1253" i="5"/>
  <c r="F587" i="5"/>
  <c r="F635" i="5"/>
  <c r="F667" i="5"/>
  <c r="F810" i="5"/>
  <c r="F1227" i="5"/>
  <c r="F580" i="5"/>
  <c r="F465" i="5"/>
  <c r="F340" i="5"/>
  <c r="F479" i="5"/>
  <c r="F1132" i="5"/>
  <c r="F1131" i="5"/>
  <c r="F631" i="5"/>
  <c r="F749" i="5"/>
  <c r="F921" i="5"/>
  <c r="F708" i="5"/>
  <c r="F201" i="5"/>
  <c r="F554" i="5"/>
  <c r="F553" i="5"/>
  <c r="F1290" i="5"/>
  <c r="F662" i="5"/>
  <c r="F1160" i="5"/>
  <c r="F860" i="5"/>
  <c r="F421" i="5"/>
  <c r="F675" i="5"/>
  <c r="F475" i="5"/>
  <c r="F391" i="5"/>
  <c r="F1047" i="5"/>
  <c r="F1159" i="5"/>
  <c r="F1000" i="5"/>
  <c r="F471" i="5"/>
  <c r="F200" i="5"/>
  <c r="F666" i="5"/>
  <c r="F893" i="5"/>
  <c r="F936" i="5"/>
  <c r="F869" i="5"/>
  <c r="F438" i="5"/>
  <c r="F133" i="5"/>
  <c r="F305" i="5"/>
  <c r="F1294" i="5"/>
  <c r="F859" i="5"/>
  <c r="F673" i="5"/>
  <c r="F588" i="5"/>
  <c r="F1219" i="5"/>
  <c r="F1178" i="5"/>
  <c r="F333" i="5"/>
  <c r="F303" i="5"/>
  <c r="F349" i="5"/>
  <c r="F339" i="5"/>
  <c r="F868" i="5"/>
  <c r="F672" i="5"/>
  <c r="F199" i="5"/>
  <c r="F360" i="5"/>
  <c r="F132" i="5"/>
  <c r="F817" i="5"/>
  <c r="F1295" i="5"/>
  <c r="F1218" i="5"/>
  <c r="F332" i="5"/>
  <c r="F331" i="5"/>
  <c r="F552" i="5"/>
  <c r="F359" i="5"/>
  <c r="F882" i="5"/>
  <c r="F1158" i="5"/>
  <c r="F954" i="5"/>
  <c r="F437" i="5"/>
  <c r="F198" i="5"/>
  <c r="F22" i="5"/>
  <c r="F496" i="5"/>
  <c r="F436" i="5"/>
  <c r="F197" i="5"/>
  <c r="F179" i="5"/>
  <c r="F104" i="5"/>
  <c r="F101" i="5"/>
  <c r="F495" i="5"/>
  <c r="F707" i="5"/>
  <c r="F477" i="5"/>
  <c r="F358" i="5"/>
  <c r="F938" i="5"/>
  <c r="F787" i="5"/>
  <c r="F706" i="5"/>
  <c r="F507" i="5"/>
  <c r="F319" i="5"/>
  <c r="F705" i="5"/>
  <c r="F704" i="5"/>
  <c r="F1005" i="5"/>
  <c r="F1217" i="5"/>
  <c r="F356" i="5"/>
  <c r="F953" i="5"/>
  <c r="F940" i="5"/>
  <c r="F703" i="5"/>
  <c r="F1054" i="5"/>
  <c r="F388" i="5"/>
  <c r="F450" i="5"/>
  <c r="F131" i="5"/>
  <c r="F461" i="5"/>
  <c r="F96" i="5"/>
  <c r="F881" i="5"/>
  <c r="F1045" i="5"/>
  <c r="F1004" i="5"/>
  <c r="F311" i="5"/>
  <c r="F302" i="5"/>
  <c r="F94" i="5"/>
  <c r="F103" i="5"/>
  <c r="F1055" i="5"/>
  <c r="F355" i="5"/>
  <c r="F935" i="5"/>
  <c r="F1156" i="5"/>
  <c r="F701" i="5"/>
  <c r="F130" i="5"/>
  <c r="F1103" i="5"/>
  <c r="F1137" i="5"/>
  <c r="F93" i="5"/>
  <c r="F69" i="5"/>
  <c r="F129" i="5"/>
  <c r="F394" i="5"/>
  <c r="F6" i="5"/>
  <c r="F3645" i="5"/>
  <c r="F1883" i="5"/>
  <c r="F1882" i="5"/>
  <c r="F2270" i="5"/>
  <c r="F2269" i="5"/>
  <c r="F2268" i="5"/>
  <c r="F2267" i="5"/>
  <c r="F2266" i="5"/>
  <c r="F2264" i="5"/>
  <c r="F3613" i="5"/>
  <c r="F2263" i="5"/>
  <c r="F2259" i="5"/>
  <c r="F2258" i="5"/>
  <c r="F2256" i="5"/>
  <c r="F2255" i="5"/>
  <c r="F2253" i="5"/>
  <c r="F2250" i="5"/>
  <c r="F2249" i="5"/>
  <c r="F2248" i="5"/>
  <c r="F2247" i="5"/>
  <c r="F31" i="5"/>
  <c r="F2244" i="5"/>
  <c r="F2196" i="5"/>
  <c r="F2243" i="5"/>
  <c r="F2242" i="5"/>
  <c r="F2241" i="5"/>
  <c r="F2240" i="5"/>
  <c r="F2237" i="5"/>
  <c r="F2236" i="5"/>
  <c r="F2235" i="5"/>
  <c r="F2234" i="5"/>
  <c r="F2233" i="5"/>
  <c r="F2232" i="5"/>
  <c r="F2231" i="5"/>
  <c r="F29" i="5"/>
  <c r="F2230" i="5"/>
  <c r="F2229" i="5"/>
  <c r="F2228" i="5"/>
  <c r="F2227" i="5"/>
  <c r="F2226" i="5"/>
  <c r="F2224" i="5"/>
  <c r="F2222" i="5"/>
  <c r="F2220" i="5"/>
  <c r="F2219" i="5"/>
  <c r="F2218" i="5"/>
  <c r="F2217" i="5"/>
  <c r="F2216" i="5"/>
  <c r="F2214" i="5"/>
  <c r="F2213" i="5"/>
  <c r="F2212" i="5"/>
  <c r="F2211" i="5"/>
  <c r="F2209" i="5"/>
  <c r="F2208" i="5"/>
  <c r="F2207" i="5"/>
  <c r="F2206" i="5"/>
  <c r="F28" i="5"/>
  <c r="F27" i="5"/>
  <c r="F783" i="5"/>
  <c r="F1360" i="5"/>
  <c r="F1359" i="5"/>
  <c r="F1358" i="5"/>
  <c r="F1355" i="5"/>
  <c r="F1601" i="5"/>
  <c r="F1353" i="5"/>
  <c r="F196" i="5"/>
  <c r="F1348" i="5"/>
  <c r="F1347" i="5"/>
  <c r="F1346" i="5"/>
  <c r="F1345" i="5"/>
  <c r="F1344" i="5"/>
  <c r="F1343" i="5"/>
  <c r="F1342" i="5"/>
  <c r="F1341" i="5"/>
  <c r="F1339" i="5"/>
  <c r="F1337" i="5"/>
  <c r="F1336" i="5"/>
  <c r="F1335" i="5"/>
  <c r="F1334" i="5"/>
  <c r="F1333" i="5"/>
  <c r="F1332" i="5"/>
  <c r="F1331" i="5"/>
  <c r="F1330" i="5"/>
  <c r="F1329" i="5"/>
  <c r="F195" i="5"/>
  <c r="F1328" i="5"/>
  <c r="F194" i="5"/>
  <c r="F193" i="5"/>
  <c r="F192" i="5"/>
  <c r="F190" i="5"/>
  <c r="F189" i="5"/>
  <c r="F188" i="5"/>
  <c r="F187" i="5"/>
  <c r="F3231" i="5"/>
  <c r="F3230" i="5"/>
  <c r="F3229" i="5"/>
  <c r="F3228" i="5"/>
  <c r="F698" i="5"/>
  <c r="F697" i="5"/>
  <c r="F696" i="5"/>
  <c r="F789" i="5"/>
  <c r="F788" i="5"/>
  <c r="F695" i="5"/>
  <c r="F694" i="5"/>
  <c r="F693" i="5"/>
  <c r="F692" i="5"/>
  <c r="F691" i="5"/>
  <c r="F556" i="5"/>
  <c r="F628" i="5"/>
  <c r="F627" i="5"/>
  <c r="F626" i="5"/>
  <c r="F625" i="5"/>
  <c r="F624" i="5"/>
  <c r="F623" i="5"/>
  <c r="F621" i="5"/>
  <c r="F620" i="5"/>
  <c r="F619" i="5"/>
  <c r="F434" i="5"/>
  <c r="F431" i="5"/>
  <c r="F2095" i="5"/>
  <c r="F2094" i="5"/>
  <c r="F1319" i="5"/>
  <c r="F1317" i="5"/>
  <c r="F1316" i="5"/>
  <c r="F1904" i="5"/>
  <c r="F1892" i="5"/>
  <c r="F1900" i="5"/>
  <c r="F1898" i="5"/>
  <c r="F1897" i="5"/>
  <c r="F1301" i="5"/>
  <c r="F126" i="5"/>
  <c r="F125" i="5"/>
  <c r="F124" i="5"/>
  <c r="F123" i="5"/>
  <c r="F122" i="5"/>
  <c r="F120" i="5"/>
  <c r="F119" i="5"/>
  <c r="F118" i="5"/>
  <c r="F117" i="5"/>
  <c r="F1458" i="5"/>
  <c r="F1457" i="5"/>
  <c r="F1456" i="5"/>
  <c r="F740" i="5"/>
  <c r="F634" i="5"/>
  <c r="F633" i="5"/>
  <c r="F3884" i="5"/>
  <c r="F1287" i="5"/>
  <c r="F1286" i="5"/>
  <c r="F1285" i="5"/>
  <c r="F1283" i="5"/>
  <c r="F1282" i="5"/>
  <c r="F1281" i="5"/>
  <c r="F1280" i="5"/>
  <c r="F1279" i="5"/>
  <c r="F1277" i="5"/>
  <c r="F1276" i="5"/>
  <c r="F1275" i="5"/>
  <c r="F1273" i="5"/>
  <c r="F1272" i="5"/>
  <c r="F1270" i="5"/>
  <c r="F1269" i="5"/>
  <c r="F3842" i="5"/>
  <c r="F32" i="5"/>
  <c r="F951" i="5"/>
  <c r="F950" i="5"/>
  <c r="F949" i="5"/>
  <c r="F287" i="5"/>
  <c r="F948" i="5"/>
  <c r="F947" i="5"/>
  <c r="F946" i="5"/>
  <c r="F945" i="5"/>
  <c r="F944" i="5"/>
  <c r="F943" i="5"/>
  <c r="F934" i="5"/>
  <c r="F933" i="5"/>
  <c r="F932" i="5"/>
  <c r="F931" i="5"/>
  <c r="F930" i="5"/>
  <c r="F3756" i="5"/>
  <c r="F3461" i="5"/>
  <c r="F3640" i="5"/>
  <c r="F1704" i="5"/>
  <c r="F753" i="5"/>
  <c r="F752" i="5"/>
  <c r="F751" i="5"/>
  <c r="F3611" i="5"/>
  <c r="F1598" i="5"/>
  <c r="F1596" i="5"/>
  <c r="F1583" i="5"/>
  <c r="F1581" i="5"/>
  <c r="F1558" i="5"/>
  <c r="F779" i="5"/>
  <c r="F1592" i="5"/>
  <c r="F1557" i="5"/>
  <c r="F774" i="5"/>
  <c r="F1555" i="5"/>
  <c r="F773" i="5"/>
  <c r="F772" i="5"/>
  <c r="F40" i="5"/>
  <c r="F608" i="5"/>
  <c r="F607" i="5"/>
  <c r="F606" i="5"/>
  <c r="F605" i="5"/>
  <c r="F604" i="5"/>
  <c r="F603" i="5"/>
  <c r="F601" i="5"/>
  <c r="F600" i="5"/>
  <c r="F598" i="5"/>
  <c r="F596" i="5"/>
  <c r="F595" i="5"/>
  <c r="F594" i="5"/>
  <c r="F593" i="5"/>
  <c r="F592" i="5"/>
  <c r="F591" i="5"/>
  <c r="F648" i="5"/>
  <c r="F647" i="5"/>
  <c r="F3196" i="5"/>
  <c r="F1521" i="5"/>
  <c r="F1520" i="5"/>
  <c r="F1519" i="5"/>
  <c r="F1518" i="5"/>
  <c r="F1517" i="5"/>
  <c r="F1516" i="5"/>
  <c r="F1513" i="5"/>
  <c r="F1512" i="5"/>
  <c r="F1511" i="5"/>
  <c r="F1510" i="5"/>
  <c r="F1509" i="5"/>
  <c r="F1508" i="5"/>
  <c r="F2993" i="5"/>
  <c r="F564" i="5"/>
  <c r="F563" i="5"/>
  <c r="F578" i="5"/>
  <c r="F1466" i="5"/>
  <c r="F1465" i="5"/>
  <c r="F2968" i="5"/>
  <c r="F2938" i="5"/>
  <c r="F529" i="5"/>
  <c r="F34" i="5"/>
  <c r="F289" i="5"/>
  <c r="F288" i="5"/>
  <c r="F2833" i="5"/>
  <c r="F2832" i="5"/>
  <c r="F464" i="5"/>
  <c r="F1083" i="5"/>
  <c r="F1082" i="5"/>
  <c r="F1081" i="5"/>
  <c r="F1080" i="5"/>
  <c r="F1079" i="5"/>
  <c r="F1078" i="5"/>
  <c r="F1077" i="5"/>
  <c r="F1076" i="5"/>
  <c r="F1075" i="5"/>
  <c r="F1074" i="5"/>
  <c r="F1072" i="5"/>
  <c r="F1070" i="5"/>
  <c r="F1069" i="5"/>
  <c r="F1068" i="5"/>
  <c r="F1067" i="5"/>
  <c r="F1066" i="5"/>
  <c r="F1065" i="5"/>
  <c r="F1064" i="5"/>
  <c r="F1063" i="5"/>
  <c r="F1084" i="5"/>
  <c r="F1107" i="5"/>
  <c r="F1101" i="5"/>
  <c r="F1108" i="5"/>
  <c r="F57" i="5"/>
  <c r="F56" i="5"/>
  <c r="F55" i="5"/>
  <c r="F1099" i="5"/>
  <c r="F1098" i="5"/>
  <c r="F1097" i="5"/>
  <c r="F1096" i="5"/>
  <c r="F1095" i="5"/>
  <c r="F1094" i="5"/>
  <c r="F1093" i="5"/>
  <c r="F1091" i="5"/>
  <c r="F1090" i="5"/>
  <c r="F1088" i="5"/>
  <c r="F1087" i="5"/>
  <c r="F1086" i="5"/>
  <c r="F1105" i="5"/>
  <c r="F49" i="5"/>
  <c r="F3950" i="5"/>
  <c r="F3949" i="5"/>
  <c r="F3947" i="5"/>
  <c r="F3946" i="5"/>
  <c r="F3945" i="5"/>
  <c r="F3944" i="5"/>
  <c r="F3943" i="5"/>
  <c r="F3941" i="5"/>
  <c r="F3940" i="5"/>
  <c r="F3939" i="5"/>
  <c r="F3938" i="5"/>
  <c r="F3937" i="5"/>
  <c r="F1652" i="5"/>
  <c r="F978" i="5"/>
  <c r="F976" i="5"/>
  <c r="F974" i="5"/>
  <c r="F972" i="5"/>
  <c r="F971" i="5"/>
  <c r="F879" i="5"/>
  <c r="F878" i="5"/>
  <c r="F887" i="5"/>
  <c r="F886" i="5"/>
  <c r="F1212" i="5"/>
  <c r="F1211" i="5"/>
  <c r="F1210" i="5"/>
  <c r="F1209" i="5"/>
  <c r="F1208" i="5"/>
  <c r="F1207" i="5"/>
  <c r="F1206" i="5"/>
  <c r="F1205" i="5"/>
  <c r="F1204" i="5"/>
  <c r="F3993" i="5"/>
  <c r="F3991" i="5"/>
  <c r="F3990" i="5"/>
  <c r="F3989" i="5"/>
  <c r="F3988" i="5"/>
  <c r="F4040" i="5"/>
  <c r="F3987" i="5"/>
  <c r="F4039" i="5"/>
  <c r="F4038" i="5"/>
  <c r="F4037" i="5"/>
  <c r="F4036" i="5"/>
  <c r="F4035" i="5"/>
  <c r="F4034" i="5"/>
  <c r="F4033" i="5"/>
  <c r="F3983" i="5"/>
  <c r="F4032" i="5"/>
  <c r="F3982" i="5"/>
  <c r="F3981" i="5"/>
  <c r="F3980" i="5"/>
  <c r="F4031" i="5"/>
  <c r="F4030" i="5"/>
  <c r="F3979" i="5"/>
  <c r="F3978" i="5"/>
  <c r="F3977" i="5"/>
  <c r="F3976" i="5"/>
  <c r="F3975" i="5"/>
  <c r="F3974" i="5"/>
  <c r="F3972" i="5"/>
  <c r="F3971" i="5"/>
  <c r="F3970" i="5"/>
  <c r="F66" i="5"/>
  <c r="F65" i="5"/>
  <c r="F1774" i="5"/>
  <c r="F1773" i="5"/>
  <c r="F1771" i="5"/>
  <c r="F1769" i="5"/>
  <c r="F1768" i="5"/>
  <c r="F1767" i="5"/>
  <c r="F1779" i="5"/>
  <c r="F1778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226" i="5"/>
  <c r="F1228" i="5"/>
  <c r="F1224" i="5"/>
  <c r="F68" i="5"/>
  <c r="F4010" i="5"/>
  <c r="F4009" i="5"/>
  <c r="F4007" i="5"/>
  <c r="F4006" i="5"/>
  <c r="F3880" i="5"/>
  <c r="F4005" i="5"/>
  <c r="F4004" i="5"/>
  <c r="F4003" i="5"/>
  <c r="F4002" i="5"/>
  <c r="F4001" i="5"/>
  <c r="F3998" i="5"/>
  <c r="F3997" i="5"/>
  <c r="F3996" i="5"/>
  <c r="F1786" i="5"/>
  <c r="F1249" i="5"/>
  <c r="F1785" i="5"/>
  <c r="F1783" i="5"/>
  <c r="F1782" i="5"/>
  <c r="F1248" i="5"/>
  <c r="F1781" i="5"/>
  <c r="F1780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3" i="5"/>
  <c r="F1230" i="5"/>
  <c r="F1229" i="5"/>
  <c r="F63" i="5"/>
  <c r="F64" i="5"/>
  <c r="F3879" i="5"/>
  <c r="F3954" i="5"/>
  <c r="F1740" i="5"/>
  <c r="F1736" i="5"/>
  <c r="F1735" i="5"/>
  <c r="F1734" i="5"/>
  <c r="F1733" i="5"/>
  <c r="F1732" i="5"/>
  <c r="F1128" i="5"/>
  <c r="F1125" i="5"/>
  <c r="F1124" i="5"/>
  <c r="F1140" i="5"/>
  <c r="F1123" i="5"/>
  <c r="F1122" i="5"/>
  <c r="F1154" i="5"/>
  <c r="F1153" i="5"/>
  <c r="F1152" i="5"/>
  <c r="F1120" i="5"/>
  <c r="F1119" i="5"/>
  <c r="F1151" i="5"/>
  <c r="F1150" i="5"/>
  <c r="F1149" i="5"/>
  <c r="F1118" i="5"/>
  <c r="F1117" i="5"/>
  <c r="F1116" i="5"/>
  <c r="F1115" i="5"/>
  <c r="F1114" i="5"/>
  <c r="F1148" i="5"/>
  <c r="F1730" i="5"/>
  <c r="F1729" i="5"/>
  <c r="F1726" i="5"/>
  <c r="F1725" i="5"/>
  <c r="F1724" i="5"/>
  <c r="F1723" i="5"/>
  <c r="F1722" i="5"/>
  <c r="F1721" i="5"/>
  <c r="F1720" i="5"/>
  <c r="F1044" i="5"/>
  <c r="F1043" i="5"/>
  <c r="F1042" i="5"/>
  <c r="F1041" i="5"/>
  <c r="F1039" i="5"/>
  <c r="F1038" i="5"/>
  <c r="F1037" i="5"/>
  <c r="F1036" i="5"/>
  <c r="F1035" i="5"/>
  <c r="F1034" i="5"/>
  <c r="F1033" i="5"/>
  <c r="F1031" i="5"/>
  <c r="F1030" i="5"/>
  <c r="F1029" i="5"/>
  <c r="F1028" i="5"/>
  <c r="F1027" i="5"/>
  <c r="F1026" i="5"/>
  <c r="F1025" i="5"/>
  <c r="F1024" i="5"/>
  <c r="F1023" i="5"/>
  <c r="F1021" i="5"/>
  <c r="F1020" i="5"/>
  <c r="F1019" i="5"/>
  <c r="F1018" i="5"/>
  <c r="F1017" i="5"/>
  <c r="F1015" i="5"/>
  <c r="F3856" i="5"/>
  <c r="F1717" i="5"/>
  <c r="F998" i="5"/>
  <c r="F997" i="5"/>
  <c r="F1002" i="5"/>
  <c r="F1714" i="5"/>
  <c r="F1713" i="5"/>
  <c r="F1712" i="5"/>
  <c r="F1711" i="5"/>
  <c r="F1710" i="5"/>
  <c r="F1716" i="5"/>
  <c r="F1715" i="5"/>
  <c r="F988" i="5"/>
  <c r="F987" i="5"/>
  <c r="F3649" i="5"/>
  <c r="F3652" i="5"/>
  <c r="F3651" i="5"/>
  <c r="F3648" i="5"/>
  <c r="F891" i="5"/>
  <c r="F890" i="5"/>
  <c r="F889" i="5"/>
  <c r="F3680" i="5"/>
  <c r="F3678" i="5"/>
  <c r="F3677" i="5"/>
  <c r="F3675" i="5"/>
  <c r="F3674" i="5"/>
  <c r="F3673" i="5"/>
  <c r="F3669" i="5"/>
  <c r="F3668" i="5"/>
  <c r="F3667" i="5"/>
  <c r="F3666" i="5"/>
  <c r="F3663" i="5"/>
  <c r="F3662" i="5"/>
  <c r="F3660" i="5"/>
  <c r="F3659" i="5"/>
  <c r="F3657" i="5"/>
  <c r="F3655" i="5"/>
  <c r="F3654" i="5"/>
  <c r="F3926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913" i="5"/>
  <c r="F912" i="5"/>
  <c r="F911" i="5"/>
  <c r="F909" i="5"/>
  <c r="F908" i="5"/>
  <c r="F907" i="5"/>
  <c r="F905" i="5"/>
  <c r="F904" i="5"/>
  <c r="F903" i="5"/>
  <c r="F902" i="5"/>
  <c r="F901" i="5"/>
  <c r="F900" i="5"/>
  <c r="F898" i="5"/>
  <c r="F897" i="5"/>
  <c r="F895" i="5"/>
  <c r="F962" i="5"/>
  <c r="F967" i="5"/>
  <c r="F966" i="5"/>
  <c r="F965" i="5"/>
  <c r="F874" i="5"/>
  <c r="F858" i="5"/>
  <c r="F856" i="5"/>
  <c r="F854" i="5"/>
  <c r="F3637" i="5"/>
  <c r="F4029" i="5"/>
  <c r="F4028" i="5"/>
  <c r="F4027" i="5"/>
  <c r="F3921" i="5"/>
  <c r="F3920" i="5"/>
  <c r="F4025" i="5"/>
  <c r="F4024" i="5"/>
  <c r="F3919" i="5"/>
  <c r="F4023" i="5"/>
  <c r="F4022" i="5"/>
  <c r="F3918" i="5"/>
  <c r="F4021" i="5"/>
  <c r="F3917" i="5"/>
  <c r="F3916" i="5"/>
  <c r="F3915" i="5"/>
  <c r="F3914" i="5"/>
  <c r="F1638" i="5"/>
  <c r="F1637" i="5"/>
  <c r="F1636" i="5"/>
  <c r="F1635" i="5"/>
  <c r="F1634" i="5"/>
  <c r="F1633" i="5"/>
  <c r="F1632" i="5"/>
  <c r="F1631" i="5"/>
  <c r="F1630" i="5"/>
  <c r="F3913" i="5"/>
  <c r="F3912" i="5"/>
  <c r="F3911" i="5"/>
  <c r="F46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852" i="5"/>
  <c r="F850" i="5"/>
  <c r="F1610" i="5"/>
  <c r="F849" i="5"/>
  <c r="F848" i="5"/>
  <c r="F1609" i="5"/>
  <c r="F847" i="5"/>
  <c r="F846" i="5"/>
  <c r="F845" i="5"/>
  <c r="F844" i="5"/>
  <c r="F842" i="5"/>
  <c r="F839" i="5"/>
  <c r="F838" i="5"/>
  <c r="F837" i="5"/>
  <c r="F836" i="5"/>
  <c r="F835" i="5"/>
  <c r="F834" i="5"/>
  <c r="F833" i="5"/>
  <c r="F832" i="5"/>
  <c r="F826" i="5"/>
  <c r="F825" i="5"/>
  <c r="F824" i="5"/>
  <c r="F823" i="5"/>
  <c r="F821" i="5"/>
  <c r="F3636" i="5"/>
  <c r="F3634" i="5"/>
  <c r="F3633" i="5"/>
  <c r="F3632" i="5"/>
  <c r="F3631" i="5"/>
  <c r="F3630" i="5"/>
  <c r="F3629" i="5"/>
  <c r="F45" i="5"/>
  <c r="F3910" i="5"/>
  <c r="F3909" i="5"/>
  <c r="F3908" i="5"/>
  <c r="F3907" i="5"/>
  <c r="F3906" i="5"/>
  <c r="F1607" i="5"/>
  <c r="F1606" i="5"/>
  <c r="F1605" i="5"/>
  <c r="F1604" i="5"/>
  <c r="F816" i="5"/>
  <c r="F1603" i="5"/>
  <c r="F814" i="5"/>
  <c r="F813" i="5"/>
  <c r="F4020" i="5"/>
  <c r="F3905" i="5"/>
  <c r="F4019" i="5"/>
  <c r="F3904" i="5"/>
  <c r="F4018" i="5"/>
  <c r="F4017" i="5"/>
  <c r="F808" i="5"/>
  <c r="F807" i="5"/>
  <c r="F806" i="5"/>
  <c r="F805" i="5"/>
  <c r="F804" i="5"/>
  <c r="F803" i="5"/>
  <c r="F802" i="5"/>
  <c r="F801" i="5"/>
  <c r="F800" i="5"/>
  <c r="F799" i="5"/>
  <c r="F798" i="5"/>
  <c r="F429" i="5"/>
</calcChain>
</file>

<file path=xl/sharedStrings.xml><?xml version="1.0" encoding="utf-8"?>
<sst xmlns="http://schemas.openxmlformats.org/spreadsheetml/2006/main" count="16119" uniqueCount="5166">
  <si>
    <t>Размер</t>
  </si>
  <si>
    <t>Длина</t>
  </si>
  <si>
    <t>Тн</t>
  </si>
  <si>
    <t>80*60*6</t>
  </si>
  <si>
    <t>150*100*6</t>
  </si>
  <si>
    <t>150*120*6</t>
  </si>
  <si>
    <t>150*150*8</t>
  </si>
  <si>
    <t>250*150*10</t>
  </si>
  <si>
    <t>260*130*12</t>
  </si>
  <si>
    <t>11,55-11,92</t>
  </si>
  <si>
    <t>11,12-11,72</t>
  </si>
  <si>
    <t>8,76-9,35</t>
  </si>
  <si>
    <t>10,18-10,32</t>
  </si>
  <si>
    <t>10,15-10,35</t>
  </si>
  <si>
    <t>10,03-11,52</t>
  </si>
  <si>
    <t>9,80-11,54</t>
  </si>
  <si>
    <t>8,34-9,20</t>
  </si>
  <si>
    <t>10,63-11,76</t>
  </si>
  <si>
    <t>7,88-11,48</t>
  </si>
  <si>
    <t>ООО "ТД "Челябсталь"</t>
  </si>
  <si>
    <t>Ст3</t>
  </si>
  <si>
    <t>Марка</t>
  </si>
  <si>
    <t>35Ш1</t>
  </si>
  <si>
    <t>180*12</t>
  </si>
  <si>
    <t>200*16</t>
  </si>
  <si>
    <t>3,30-6,00</t>
  </si>
  <si>
    <t>4,00-5,00</t>
  </si>
  <si>
    <t>5,00-6,00</t>
  </si>
  <si>
    <t>4,00-6,00</t>
  </si>
  <si>
    <t>4.10-5.30</t>
  </si>
  <si>
    <t>2.85-2.93</t>
  </si>
  <si>
    <t>2.50-3.20</t>
  </si>
  <si>
    <t>3.24-3.42</t>
  </si>
  <si>
    <t>3.56-3.91</t>
  </si>
  <si>
    <t>2.58-3.04</t>
  </si>
  <si>
    <t>3.42-3.53</t>
  </si>
  <si>
    <t>1.55-3.50</t>
  </si>
  <si>
    <t>2.85-5.60</t>
  </si>
  <si>
    <t>5.03</t>
  </si>
  <si>
    <t>3.00-4.26</t>
  </si>
  <si>
    <t>5.15-5.33</t>
  </si>
  <si>
    <t>3.50</t>
  </si>
  <si>
    <t>160*12</t>
  </si>
  <si>
    <t>120*60*4</t>
  </si>
  <si>
    <t>8,00-11,00</t>
  </si>
  <si>
    <t>8,00 / 8,80 / 10,00</t>
  </si>
  <si>
    <t>3.00-6.00</t>
  </si>
  <si>
    <t>10,83-11,55</t>
  </si>
  <si>
    <t>12Б1</t>
  </si>
  <si>
    <t>40Ш1</t>
  </si>
  <si>
    <t>30П/У</t>
  </si>
  <si>
    <t>110*8</t>
  </si>
  <si>
    <t>25К1</t>
  </si>
  <si>
    <t>14</t>
  </si>
  <si>
    <t>17</t>
  </si>
  <si>
    <t>19</t>
  </si>
  <si>
    <t>27</t>
  </si>
  <si>
    <t>32</t>
  </si>
  <si>
    <t>36</t>
  </si>
  <si>
    <t>46</t>
  </si>
  <si>
    <t>55</t>
  </si>
  <si>
    <t>65</t>
  </si>
  <si>
    <t>12У</t>
  </si>
  <si>
    <t>50*5</t>
  </si>
  <si>
    <t>Поковка</t>
  </si>
  <si>
    <t xml:space="preserve">60х150х250 </t>
  </si>
  <si>
    <t xml:space="preserve">60х350х1000 </t>
  </si>
  <si>
    <t xml:space="preserve">60х350х1100 </t>
  </si>
  <si>
    <t xml:space="preserve">70х350х1200 </t>
  </si>
  <si>
    <t xml:space="preserve">70х400х1200 </t>
  </si>
  <si>
    <t xml:space="preserve">80х100х160 </t>
  </si>
  <si>
    <t xml:space="preserve">80х400х1000 </t>
  </si>
  <si>
    <t xml:space="preserve">90х190х240 </t>
  </si>
  <si>
    <t xml:space="preserve">100х180х440 </t>
  </si>
  <si>
    <t xml:space="preserve">100х440х1000 </t>
  </si>
  <si>
    <t xml:space="preserve">100х440х800 </t>
  </si>
  <si>
    <t xml:space="preserve">120х230х230 </t>
  </si>
  <si>
    <t xml:space="preserve">120х440х1100 </t>
  </si>
  <si>
    <t xml:space="preserve">120х440х1200 </t>
  </si>
  <si>
    <t xml:space="preserve">130х160х270 </t>
  </si>
  <si>
    <t xml:space="preserve">130х190х500 </t>
  </si>
  <si>
    <t xml:space="preserve">140х300х450 </t>
  </si>
  <si>
    <t xml:space="preserve">145х120х120 </t>
  </si>
  <si>
    <t xml:space="preserve">145х160х180 </t>
  </si>
  <si>
    <t xml:space="preserve">150х350х420 </t>
  </si>
  <si>
    <t xml:space="preserve">160х480х530 </t>
  </si>
  <si>
    <t xml:space="preserve">170х270х780 </t>
  </si>
  <si>
    <t xml:space="preserve">200х250х500 </t>
  </si>
  <si>
    <t>305х510х2680</t>
  </si>
  <si>
    <t xml:space="preserve">450х280х200 </t>
  </si>
  <si>
    <t>340х100х125</t>
  </si>
  <si>
    <t>460х180х180</t>
  </si>
  <si>
    <t xml:space="preserve">370х170х110 </t>
  </si>
  <si>
    <t>250х120х65</t>
  </si>
  <si>
    <t>299х250х120</t>
  </si>
  <si>
    <t>320х80х160</t>
  </si>
  <si>
    <t xml:space="preserve">340х160х90 </t>
  </si>
  <si>
    <t>370х110х100</t>
  </si>
  <si>
    <t xml:space="preserve">380х230х110 </t>
  </si>
  <si>
    <t xml:space="preserve">390х250х120 </t>
  </si>
  <si>
    <t xml:space="preserve">390х255х140 </t>
  </si>
  <si>
    <t>390х90х90</t>
  </si>
  <si>
    <t>400х245х180</t>
  </si>
  <si>
    <t xml:space="preserve">430х110х190 </t>
  </si>
  <si>
    <t xml:space="preserve">450х210х110 </t>
  </si>
  <si>
    <t xml:space="preserve">450х345х140 </t>
  </si>
  <si>
    <t xml:space="preserve">760х665х155 </t>
  </si>
  <si>
    <t xml:space="preserve">910х140 </t>
  </si>
  <si>
    <t>470х70</t>
  </si>
  <si>
    <t>450х240</t>
  </si>
  <si>
    <t xml:space="preserve">440х110 </t>
  </si>
  <si>
    <t>410х170</t>
  </si>
  <si>
    <t xml:space="preserve">340х200 </t>
  </si>
  <si>
    <t>340х130</t>
  </si>
  <si>
    <t xml:space="preserve">320х130 </t>
  </si>
  <si>
    <t>310х85</t>
  </si>
  <si>
    <t>305х125</t>
  </si>
  <si>
    <t xml:space="preserve">300х140 </t>
  </si>
  <si>
    <t xml:space="preserve">300х130 </t>
  </si>
  <si>
    <t>290х140</t>
  </si>
  <si>
    <t xml:space="preserve">280х370 </t>
  </si>
  <si>
    <t xml:space="preserve">280х180 </t>
  </si>
  <si>
    <t>280х140</t>
  </si>
  <si>
    <t xml:space="preserve">280х130 </t>
  </si>
  <si>
    <t xml:space="preserve">270х75 </t>
  </si>
  <si>
    <t>1.56-1.78</t>
  </si>
  <si>
    <t>2.06-2.24</t>
  </si>
  <si>
    <t>2.16</t>
  </si>
  <si>
    <t>205х120</t>
  </si>
  <si>
    <t>205х150</t>
  </si>
  <si>
    <t>225х100</t>
  </si>
  <si>
    <t>Вал</t>
  </si>
  <si>
    <t>220х350</t>
  </si>
  <si>
    <t>222х240</t>
  </si>
  <si>
    <t xml:space="preserve">235х350 </t>
  </si>
  <si>
    <t xml:space="preserve">320х80 </t>
  </si>
  <si>
    <t xml:space="preserve"> 330х180</t>
  </si>
  <si>
    <t>330х180</t>
  </si>
  <si>
    <t>330х190</t>
  </si>
  <si>
    <t>330х80</t>
  </si>
  <si>
    <t>430х270</t>
  </si>
  <si>
    <t>440х270</t>
  </si>
  <si>
    <t>11,02-11,84</t>
  </si>
  <si>
    <t>57</t>
  </si>
  <si>
    <t>3,80-4,80</t>
  </si>
  <si>
    <t>Круг медный</t>
  </si>
  <si>
    <t>Пруток ДКРНП М1</t>
  </si>
  <si>
    <t>НД</t>
  </si>
  <si>
    <t>160*80*4</t>
  </si>
  <si>
    <t>30Б1</t>
  </si>
  <si>
    <t>ГОСТ 8732-78</t>
  </si>
  <si>
    <t>3,00-5,00</t>
  </si>
  <si>
    <t>Рельс</t>
  </si>
  <si>
    <t xml:space="preserve">Р43 </t>
  </si>
  <si>
    <t>20</t>
  </si>
  <si>
    <t>11,35-12,05</t>
  </si>
  <si>
    <t>0,05</t>
  </si>
  <si>
    <t>2.50-3.50</t>
  </si>
  <si>
    <t>0,61</t>
  </si>
  <si>
    <t>5,20</t>
  </si>
  <si>
    <t>0,56</t>
  </si>
  <si>
    <t>3.80-4.10</t>
  </si>
  <si>
    <t>7,12</t>
  </si>
  <si>
    <t>2.40-3.00</t>
  </si>
  <si>
    <t>3.40-4.00</t>
  </si>
  <si>
    <t>2.50-3.30</t>
  </si>
  <si>
    <t>3.80-3.90</t>
  </si>
  <si>
    <t>3.91-4.04</t>
  </si>
  <si>
    <t>4.10-4.45</t>
  </si>
  <si>
    <t>3.56</t>
  </si>
  <si>
    <t>2.92-3.10</t>
  </si>
  <si>
    <t>2.12-2.18</t>
  </si>
  <si>
    <t>2.70-3.20</t>
  </si>
  <si>
    <t>3,20-4.15</t>
  </si>
  <si>
    <t>5.91</t>
  </si>
  <si>
    <t>3.35-3.80</t>
  </si>
  <si>
    <t>0.80</t>
  </si>
  <si>
    <t>0.75</t>
  </si>
  <si>
    <t>6,5У</t>
  </si>
  <si>
    <t>3.20-4.10</t>
  </si>
  <si>
    <t>12</t>
  </si>
  <si>
    <t>4.40-4.50</t>
  </si>
  <si>
    <t>24</t>
  </si>
  <si>
    <t>21</t>
  </si>
  <si>
    <t>30</t>
  </si>
  <si>
    <t>2.50-4.70</t>
  </si>
  <si>
    <t>3,00-4,00</t>
  </si>
  <si>
    <t>50Ш3</t>
  </si>
  <si>
    <t>60Б2</t>
  </si>
  <si>
    <t>125*80*10</t>
  </si>
  <si>
    <t>40*4</t>
  </si>
  <si>
    <t>0,06</t>
  </si>
  <si>
    <t>2,10-3,10</t>
  </si>
  <si>
    <t>4,88-6,08</t>
  </si>
  <si>
    <t>Лист х/к</t>
  </si>
  <si>
    <t>4.18-6.00</t>
  </si>
  <si>
    <t>3.50-6.00</t>
  </si>
  <si>
    <t>60*60*2</t>
  </si>
  <si>
    <t>60*60*4</t>
  </si>
  <si>
    <t>100*100*3</t>
  </si>
  <si>
    <t>10,00-12,00</t>
  </si>
  <si>
    <t>11,35-11,62</t>
  </si>
  <si>
    <t>ЭСВ</t>
  </si>
  <si>
    <t>К56</t>
  </si>
  <si>
    <t>200*100*6</t>
  </si>
  <si>
    <t>250*60*6</t>
  </si>
  <si>
    <t>6,00 / 12,00</t>
  </si>
  <si>
    <t>400*100*8</t>
  </si>
  <si>
    <t>6,00 / 11,70</t>
  </si>
  <si>
    <t>Характеристика</t>
  </si>
  <si>
    <t>09Г2С</t>
  </si>
  <si>
    <t>20КТ</t>
  </si>
  <si>
    <t>30ХГСА</t>
  </si>
  <si>
    <t>20А</t>
  </si>
  <si>
    <t>20ФА</t>
  </si>
  <si>
    <t>13ХФА</t>
  </si>
  <si>
    <t>12ХН3А</t>
  </si>
  <si>
    <t>40Х</t>
  </si>
  <si>
    <t>20Г</t>
  </si>
  <si>
    <t>30ХМА</t>
  </si>
  <si>
    <t>15ХМ</t>
  </si>
  <si>
    <t>17Г1С</t>
  </si>
  <si>
    <t>10Г2ФБЮ</t>
  </si>
  <si>
    <t>К55</t>
  </si>
  <si>
    <t>ГОСТ 10706</t>
  </si>
  <si>
    <t xml:space="preserve">ГОСТ 10704, 10705 </t>
  </si>
  <si>
    <t xml:space="preserve">ГОСТ 10704, 10705, 2019г  </t>
  </si>
  <si>
    <t>ТУ1317-006.1</t>
  </si>
  <si>
    <t>ТУ 1317-006.1-593377520</t>
  </si>
  <si>
    <t>ГОСТ 550-75</t>
  </si>
  <si>
    <t>ТУ 14-3Р-91-2004</t>
  </si>
  <si>
    <t>ТУ 1317-006.1 (Вус 2Н-3)</t>
  </si>
  <si>
    <t>ГОСТ 32528</t>
  </si>
  <si>
    <t>ГОСТ 8732-78 (ВУС+Гумировка)</t>
  </si>
  <si>
    <t>ТУ 14-3р-55-2001</t>
  </si>
  <si>
    <t>11,50-12,05</t>
  </si>
  <si>
    <t>Диаметр</t>
  </si>
  <si>
    <t>Стенка</t>
  </si>
  <si>
    <t>6</t>
  </si>
  <si>
    <t>8</t>
  </si>
  <si>
    <t>5</t>
  </si>
  <si>
    <t>7</t>
  </si>
  <si>
    <t>10</t>
  </si>
  <si>
    <t>11</t>
  </si>
  <si>
    <t>15</t>
  </si>
  <si>
    <t>16</t>
  </si>
  <si>
    <t>13</t>
  </si>
  <si>
    <t>3</t>
  </si>
  <si>
    <t>12Х17</t>
  </si>
  <si>
    <t>08Х18Н10</t>
  </si>
  <si>
    <t>09ГСФ</t>
  </si>
  <si>
    <t>ТУ 1381-037-2008 (ВУС)</t>
  </si>
  <si>
    <t>ТУ 14-3-1578-96</t>
  </si>
  <si>
    <t>ТУ 14-3-1578-96 (ВУС)</t>
  </si>
  <si>
    <t>ТУ 14-3-1578-96 (рез.с.1.стороны)</t>
  </si>
  <si>
    <t>13ГФА</t>
  </si>
  <si>
    <t>ГОСТ 8732-78 (после снятия ППУ)</t>
  </si>
  <si>
    <t>ГОСТ 20295</t>
  </si>
  <si>
    <t>180*180*4</t>
  </si>
  <si>
    <t>125*80*8</t>
  </si>
  <si>
    <t>20Ш1</t>
  </si>
  <si>
    <t>30Ш1</t>
  </si>
  <si>
    <t>90*8</t>
  </si>
  <si>
    <t>Полоса</t>
  </si>
  <si>
    <t>5*40</t>
  </si>
  <si>
    <t>16*240-255</t>
  </si>
  <si>
    <t>4*40</t>
  </si>
  <si>
    <t>4*25</t>
  </si>
  <si>
    <t>оцинк.</t>
  </si>
  <si>
    <t>20К1</t>
  </si>
  <si>
    <t>14У</t>
  </si>
  <si>
    <t>16У</t>
  </si>
  <si>
    <t>30У</t>
  </si>
  <si>
    <t>160*10</t>
  </si>
  <si>
    <t>45Б2</t>
  </si>
  <si>
    <t>50Б1</t>
  </si>
  <si>
    <t>45Ш1</t>
  </si>
  <si>
    <t>7,90-8,32</t>
  </si>
  <si>
    <t>4</t>
  </si>
  <si>
    <t>11,00-12,00</t>
  </si>
  <si>
    <t>18</t>
  </si>
  <si>
    <t>12Х18Н10Т</t>
  </si>
  <si>
    <t xml:space="preserve">ГОСТ 10706-76 (прайм) </t>
  </si>
  <si>
    <t>5,00-12,10</t>
  </si>
  <si>
    <t>9,00-10,00</t>
  </si>
  <si>
    <t>5,60-5,70</t>
  </si>
  <si>
    <t>ТУ 14-3Р-1128-2007</t>
  </si>
  <si>
    <t>ТУ 14-3-1128-2000</t>
  </si>
  <si>
    <t>15Х</t>
  </si>
  <si>
    <t>20С</t>
  </si>
  <si>
    <t xml:space="preserve">ТУ 14-3-1128-2000 </t>
  </si>
  <si>
    <t>5ВР1 (Мечел)</t>
  </si>
  <si>
    <t>1,18-3,20</t>
  </si>
  <si>
    <t>4,50-6,00</t>
  </si>
  <si>
    <t>5,50-6,00</t>
  </si>
  <si>
    <t>3,00-6,00</t>
  </si>
  <si>
    <t>3,00-3,50</t>
  </si>
  <si>
    <t>4,00-5,50</t>
  </si>
  <si>
    <t>4,20-6,10</t>
  </si>
  <si>
    <t>2,30-3,60</t>
  </si>
  <si>
    <t>4,50-5,20</t>
  </si>
  <si>
    <t>38ХМА</t>
  </si>
  <si>
    <t>35Х</t>
  </si>
  <si>
    <t>3,60-3,90</t>
  </si>
  <si>
    <t>1,85-3,45</t>
  </si>
  <si>
    <t>40Г</t>
  </si>
  <si>
    <t>38Х2МЮА</t>
  </si>
  <si>
    <t>20Х</t>
  </si>
  <si>
    <t>ШХ15</t>
  </si>
  <si>
    <t>20ХГСА</t>
  </si>
  <si>
    <t>38ХН3МФА</t>
  </si>
  <si>
    <t xml:space="preserve">30ХГСА </t>
  </si>
  <si>
    <t>15ГС</t>
  </si>
  <si>
    <t>08Х18Н10Т</t>
  </si>
  <si>
    <t>12Х1МФ</t>
  </si>
  <si>
    <t>15Х1М1Ф</t>
  </si>
  <si>
    <t>под заказ</t>
  </si>
  <si>
    <t>Ст3, Ст.20-50, 09Г2С, 20Х, 40Х</t>
  </si>
  <si>
    <t>1.1</t>
  </si>
  <si>
    <t>М12-56</t>
  </si>
  <si>
    <t>2.1</t>
  </si>
  <si>
    <t>2.2</t>
  </si>
  <si>
    <t>5.1</t>
  </si>
  <si>
    <t>4Х5В2ФС (ЭИ958)</t>
  </si>
  <si>
    <t>150х150</t>
  </si>
  <si>
    <t>160х160</t>
  </si>
  <si>
    <t>У8А</t>
  </si>
  <si>
    <t>200х200</t>
  </si>
  <si>
    <t>У10А</t>
  </si>
  <si>
    <t>Х12МФ</t>
  </si>
  <si>
    <t>300х300</t>
  </si>
  <si>
    <t>400х400</t>
  </si>
  <si>
    <t>450х450</t>
  </si>
  <si>
    <t>Р6М5</t>
  </si>
  <si>
    <t>12х12</t>
  </si>
  <si>
    <t>14х14</t>
  </si>
  <si>
    <t>18х18</t>
  </si>
  <si>
    <t xml:space="preserve">12ХН3А </t>
  </si>
  <si>
    <t>140х140</t>
  </si>
  <si>
    <t>170х180</t>
  </si>
  <si>
    <t xml:space="preserve">65Г </t>
  </si>
  <si>
    <t>30х30</t>
  </si>
  <si>
    <t>20х20</t>
  </si>
  <si>
    <t>70х70</t>
  </si>
  <si>
    <t>180х190</t>
  </si>
  <si>
    <t>190х210</t>
  </si>
  <si>
    <t>240х240</t>
  </si>
  <si>
    <t>195х195</t>
  </si>
  <si>
    <t>180х180</t>
  </si>
  <si>
    <t>Профиль</t>
  </si>
  <si>
    <t>Квадрат</t>
  </si>
  <si>
    <t>Кольцо</t>
  </si>
  <si>
    <t>6ХВ2С</t>
  </si>
  <si>
    <t>Круг</t>
  </si>
  <si>
    <t xml:space="preserve">Шестигранник </t>
  </si>
  <si>
    <t>170х170</t>
  </si>
  <si>
    <t>СЧ-20 (Заг.чугунная)</t>
  </si>
  <si>
    <t xml:space="preserve">3Х2В8Ф </t>
  </si>
  <si>
    <t xml:space="preserve">3Х3М3Ф </t>
  </si>
  <si>
    <t>4Х4ВМФС (ДИ-22)</t>
  </si>
  <si>
    <t>180 ков.</t>
  </si>
  <si>
    <t>250 ков.</t>
  </si>
  <si>
    <t>220/ф50</t>
  </si>
  <si>
    <t>360/ф50</t>
  </si>
  <si>
    <t>4ХМФС</t>
  </si>
  <si>
    <t>5Х3В3МФС (ДИ23)</t>
  </si>
  <si>
    <t>6Х6В3МФС</t>
  </si>
  <si>
    <t>5ХНМ</t>
  </si>
  <si>
    <t>5ХНТ</t>
  </si>
  <si>
    <t xml:space="preserve">7Х3 </t>
  </si>
  <si>
    <t xml:space="preserve">8Х3 </t>
  </si>
  <si>
    <t>7Х3</t>
  </si>
  <si>
    <t>240 ков.</t>
  </si>
  <si>
    <t>9Х1</t>
  </si>
  <si>
    <t>8ХФ</t>
  </si>
  <si>
    <t>9Х2МФ</t>
  </si>
  <si>
    <t>9ХС</t>
  </si>
  <si>
    <t>У7А</t>
  </si>
  <si>
    <t>8 калибр.</t>
  </si>
  <si>
    <t>200 ков.</t>
  </si>
  <si>
    <t>Х6ВФ</t>
  </si>
  <si>
    <t>ХВ4Ф</t>
  </si>
  <si>
    <t>100 ков.</t>
  </si>
  <si>
    <t>120 ков.</t>
  </si>
  <si>
    <t>130 ков.</t>
  </si>
  <si>
    <t>150 ков.</t>
  </si>
  <si>
    <t>160 ков.</t>
  </si>
  <si>
    <t>170 ков.</t>
  </si>
  <si>
    <t>Х12МФ-Ш</t>
  </si>
  <si>
    <t>5ХВ2СФ</t>
  </si>
  <si>
    <t>5ХВ2С</t>
  </si>
  <si>
    <t>Р6М5-Ш</t>
  </si>
  <si>
    <t>Р6М5Ф3</t>
  </si>
  <si>
    <t>Р9М4К8</t>
  </si>
  <si>
    <t>Р6М5К5</t>
  </si>
  <si>
    <t>Р2М5</t>
  </si>
  <si>
    <t>Р18</t>
  </si>
  <si>
    <t>9Х4М3Ф2АГСТ</t>
  </si>
  <si>
    <t xml:space="preserve">20Х2Н4А </t>
  </si>
  <si>
    <t xml:space="preserve">   20ХН3А </t>
  </si>
  <si>
    <t>18ХГТ</t>
  </si>
  <si>
    <t>25ХГТ</t>
  </si>
  <si>
    <t>34ХН1М</t>
  </si>
  <si>
    <t>35Х3НМ</t>
  </si>
  <si>
    <t>38ХН3МА</t>
  </si>
  <si>
    <t>250(240)</t>
  </si>
  <si>
    <t>40ХН2МА</t>
  </si>
  <si>
    <t>40Х2Н2МА</t>
  </si>
  <si>
    <t xml:space="preserve">40ХН2МА </t>
  </si>
  <si>
    <t>60ХН</t>
  </si>
  <si>
    <t xml:space="preserve">60С2А </t>
  </si>
  <si>
    <t>680/ф500</t>
  </si>
  <si>
    <t>ШХ15-В</t>
  </si>
  <si>
    <t>40Х13</t>
  </si>
  <si>
    <t>30Х13</t>
  </si>
  <si>
    <t>870/ф110</t>
  </si>
  <si>
    <t>880/ф140</t>
  </si>
  <si>
    <t>580/ф90</t>
  </si>
  <si>
    <t>38ХА</t>
  </si>
  <si>
    <t>30ХС</t>
  </si>
  <si>
    <t>45Х1</t>
  </si>
  <si>
    <t>1300/ф450</t>
  </si>
  <si>
    <t>1400/ф400</t>
  </si>
  <si>
    <t>700/ф200</t>
  </si>
  <si>
    <t>910/ф710</t>
  </si>
  <si>
    <t>940/ф390</t>
  </si>
  <si>
    <t>Чугун КЧ</t>
  </si>
  <si>
    <t>Д16</t>
  </si>
  <si>
    <t>Плита</t>
  </si>
  <si>
    <t>100х360</t>
  </si>
  <si>
    <t>100х420</t>
  </si>
  <si>
    <t>155х220х310</t>
  </si>
  <si>
    <t>250х250</t>
  </si>
  <si>
    <t>250х310х420</t>
  </si>
  <si>
    <t>250х320</t>
  </si>
  <si>
    <t>250х510</t>
  </si>
  <si>
    <t>270х330</t>
  </si>
  <si>
    <t>310х310х330</t>
  </si>
  <si>
    <t>30-100х150-250</t>
  </si>
  <si>
    <t>410х710</t>
  </si>
  <si>
    <t>450х500</t>
  </si>
  <si>
    <t>30х500х1200</t>
  </si>
  <si>
    <t>100х130х700</t>
  </si>
  <si>
    <t>130х290х380</t>
  </si>
  <si>
    <t>130х370х560</t>
  </si>
  <si>
    <t>140х230х370</t>
  </si>
  <si>
    <t>140х280х670</t>
  </si>
  <si>
    <t>150х220х350</t>
  </si>
  <si>
    <t>150х560</t>
  </si>
  <si>
    <t>170х600х640</t>
  </si>
  <si>
    <t>260х540х1360</t>
  </si>
  <si>
    <t>270х270х360</t>
  </si>
  <si>
    <t>340х380х600</t>
  </si>
  <si>
    <t>350х450</t>
  </si>
  <si>
    <t>350х480</t>
  </si>
  <si>
    <t>370х670х690</t>
  </si>
  <si>
    <t>370х690х690</t>
  </si>
  <si>
    <t>400х540</t>
  </si>
  <si>
    <t>400х690х2350</t>
  </si>
  <si>
    <t>440х600</t>
  </si>
  <si>
    <t>440х670</t>
  </si>
  <si>
    <t>470х480</t>
  </si>
  <si>
    <t>480х640</t>
  </si>
  <si>
    <t>500х1050х1250</t>
  </si>
  <si>
    <t>640х670</t>
  </si>
  <si>
    <t>660х880х1120</t>
  </si>
  <si>
    <t>210х420х730</t>
  </si>
  <si>
    <t>5ХГМ</t>
  </si>
  <si>
    <t>300х600х610</t>
  </si>
  <si>
    <t>330х330</t>
  </si>
  <si>
    <t>340х380х710</t>
  </si>
  <si>
    <t>370х380х380</t>
  </si>
  <si>
    <t>370х510</t>
  </si>
  <si>
    <t>370х520х940</t>
  </si>
  <si>
    <t>200х300</t>
  </si>
  <si>
    <t>100х200х800</t>
  </si>
  <si>
    <t>120х300х750</t>
  </si>
  <si>
    <t>190х380</t>
  </si>
  <si>
    <t xml:space="preserve">12Х2Н4А </t>
  </si>
  <si>
    <t>180х310</t>
  </si>
  <si>
    <t>280х310</t>
  </si>
  <si>
    <t>95х380х390</t>
  </si>
  <si>
    <t>100х380х390</t>
  </si>
  <si>
    <t>140х440</t>
  </si>
  <si>
    <t>30ХГСН2МА</t>
  </si>
  <si>
    <t>170х420</t>
  </si>
  <si>
    <t>210х390х480</t>
  </si>
  <si>
    <t>290х420х480</t>
  </si>
  <si>
    <t>145х280х690</t>
  </si>
  <si>
    <t>50ХН</t>
  </si>
  <si>
    <t>210х420</t>
  </si>
  <si>
    <t>200х380х580</t>
  </si>
  <si>
    <t>40ХН</t>
  </si>
  <si>
    <t>220х410х430</t>
  </si>
  <si>
    <t>265х325</t>
  </si>
  <si>
    <t>310х400х670</t>
  </si>
  <si>
    <t>320х440х770</t>
  </si>
  <si>
    <t>440х590</t>
  </si>
  <si>
    <t>75 (65Г)</t>
  </si>
  <si>
    <t>300х300х390</t>
  </si>
  <si>
    <t>180х200</t>
  </si>
  <si>
    <t>190х190</t>
  </si>
  <si>
    <t>120х400</t>
  </si>
  <si>
    <t>120х410</t>
  </si>
  <si>
    <t>120х500х790</t>
  </si>
  <si>
    <t>130х420</t>
  </si>
  <si>
    <t>140х240х480</t>
  </si>
  <si>
    <t>140х250х570</t>
  </si>
  <si>
    <t>180х210</t>
  </si>
  <si>
    <t>180х230</t>
  </si>
  <si>
    <t>700х830х1270</t>
  </si>
  <si>
    <t>60х490х500</t>
  </si>
  <si>
    <t>140(160)х600х550</t>
  </si>
  <si>
    <t>190х240х540</t>
  </si>
  <si>
    <t>190х340х370</t>
  </si>
  <si>
    <t>270х320х2100</t>
  </si>
  <si>
    <t>50х500х820</t>
  </si>
  <si>
    <t>60х390х830</t>
  </si>
  <si>
    <t>100х270</t>
  </si>
  <si>
    <t>100х700х1400</t>
  </si>
  <si>
    <t>110х300х510</t>
  </si>
  <si>
    <t>110х730х750</t>
  </si>
  <si>
    <t>120х130х620</t>
  </si>
  <si>
    <t>120х510х580</t>
  </si>
  <si>
    <t>130х220</t>
  </si>
  <si>
    <t>140х200х350</t>
  </si>
  <si>
    <t>140х240</t>
  </si>
  <si>
    <t>140х370х480</t>
  </si>
  <si>
    <t>145х200х350</t>
  </si>
  <si>
    <t>150х330х620</t>
  </si>
  <si>
    <t>150х590</t>
  </si>
  <si>
    <t>160(230)х250х540</t>
  </si>
  <si>
    <t>160х310х710</t>
  </si>
  <si>
    <t>160х550</t>
  </si>
  <si>
    <t>160х560х760</t>
  </si>
  <si>
    <t>170х420х550</t>
  </si>
  <si>
    <t>170х550</t>
  </si>
  <si>
    <t>180х200х350</t>
  </si>
  <si>
    <t>180х350</t>
  </si>
  <si>
    <t>190х300х320</t>
  </si>
  <si>
    <t>190х410х810</t>
  </si>
  <si>
    <t>190х430</t>
  </si>
  <si>
    <t>190х520</t>
  </si>
  <si>
    <t>190х560</t>
  </si>
  <si>
    <t>200х280х560</t>
  </si>
  <si>
    <t>200х340х1870</t>
  </si>
  <si>
    <t>200х380х800</t>
  </si>
  <si>
    <t>210х210</t>
  </si>
  <si>
    <t>210х240х380</t>
  </si>
  <si>
    <t>220х250х380</t>
  </si>
  <si>
    <t>220х450</t>
  </si>
  <si>
    <t>220х880х650</t>
  </si>
  <si>
    <t>230х330х330</t>
  </si>
  <si>
    <t>240х290х390</t>
  </si>
  <si>
    <t>240х240х250</t>
  </si>
  <si>
    <t>240х410</t>
  </si>
  <si>
    <t>240х800(820)</t>
  </si>
  <si>
    <t>250х290х320</t>
  </si>
  <si>
    <t>250х380х660</t>
  </si>
  <si>
    <t>250х760</t>
  </si>
  <si>
    <t>250х930х1120</t>
  </si>
  <si>
    <t>260х350х810</t>
  </si>
  <si>
    <t>270х710</t>
  </si>
  <si>
    <t>270х800х840</t>
  </si>
  <si>
    <t>270х1000х1070</t>
  </si>
  <si>
    <t>280х320х380</t>
  </si>
  <si>
    <t>280х940х1130</t>
  </si>
  <si>
    <t>290х300х420</t>
  </si>
  <si>
    <t>300х300х310</t>
  </si>
  <si>
    <t>230х370х450</t>
  </si>
  <si>
    <t>330х340х1590</t>
  </si>
  <si>
    <t>330х620х680</t>
  </si>
  <si>
    <t>330х620х770</t>
  </si>
  <si>
    <t>340х470х600</t>
  </si>
  <si>
    <t>380х400</t>
  </si>
  <si>
    <t>480х620</t>
  </si>
  <si>
    <t>50ХФА</t>
  </si>
  <si>
    <t>430х440х380</t>
  </si>
  <si>
    <t>150х200</t>
  </si>
  <si>
    <t>180х240</t>
  </si>
  <si>
    <t>30х150</t>
  </si>
  <si>
    <t>50х150</t>
  </si>
  <si>
    <t>90х400х420</t>
  </si>
  <si>
    <t>130х310х340</t>
  </si>
  <si>
    <t>40х510</t>
  </si>
  <si>
    <t>50х510</t>
  </si>
  <si>
    <t>130х160</t>
  </si>
  <si>
    <t>140х220</t>
  </si>
  <si>
    <t>170х220х610</t>
  </si>
  <si>
    <t>200х250х320</t>
  </si>
  <si>
    <t>10х420</t>
  </si>
  <si>
    <t>20х610</t>
  </si>
  <si>
    <t>25х40</t>
  </si>
  <si>
    <t>30х610</t>
  </si>
  <si>
    <t>40х610</t>
  </si>
  <si>
    <t>60х610</t>
  </si>
  <si>
    <t>100х610</t>
  </si>
  <si>
    <t>110х360х645</t>
  </si>
  <si>
    <t>110х610</t>
  </si>
  <si>
    <t>120х610</t>
  </si>
  <si>
    <t>130х610</t>
  </si>
  <si>
    <t>140х400</t>
  </si>
  <si>
    <t xml:space="preserve">150х610 </t>
  </si>
  <si>
    <t>160х610</t>
  </si>
  <si>
    <t>170х610</t>
  </si>
  <si>
    <t>200х610</t>
  </si>
  <si>
    <t>25х610</t>
  </si>
  <si>
    <t>40(70)х610х830</t>
  </si>
  <si>
    <t>50х150х670</t>
  </si>
  <si>
    <t>70х380х610</t>
  </si>
  <si>
    <t>80х200</t>
  </si>
  <si>
    <t>80х270</t>
  </si>
  <si>
    <t>80х510</t>
  </si>
  <si>
    <t>90х450х460</t>
  </si>
  <si>
    <t>100х420х810</t>
  </si>
  <si>
    <t>110х190х770</t>
  </si>
  <si>
    <t>120х360х610</t>
  </si>
  <si>
    <t>170х180х1000</t>
  </si>
  <si>
    <t>180х610</t>
  </si>
  <si>
    <t>190х610</t>
  </si>
  <si>
    <t>16х610 УЗК</t>
  </si>
  <si>
    <t>20х610 УЗК</t>
  </si>
  <si>
    <t>30х610 УЗК</t>
  </si>
  <si>
    <t>35х610 УЗК</t>
  </si>
  <si>
    <t>40х175х750</t>
  </si>
  <si>
    <t>40х610 УЗК</t>
  </si>
  <si>
    <t>50х610 УЗК</t>
  </si>
  <si>
    <t>60х610 УЗК</t>
  </si>
  <si>
    <t>70х610 УЗК</t>
  </si>
  <si>
    <t>100х210</t>
  </si>
  <si>
    <t>100х610 УЗК</t>
  </si>
  <si>
    <t>9х25</t>
  </si>
  <si>
    <t>13х37</t>
  </si>
  <si>
    <t>2,08-2,56</t>
  </si>
  <si>
    <t>1,30-1,40</t>
  </si>
  <si>
    <t>Блюмс (кв.заг)</t>
  </si>
  <si>
    <t>2,50-3,00</t>
  </si>
  <si>
    <t>20Х2Н4А</t>
  </si>
  <si>
    <t>1.00</t>
  </si>
  <si>
    <t>930х340х230</t>
  </si>
  <si>
    <t>3,00-4,70</t>
  </si>
  <si>
    <t>3,67-3,97</t>
  </si>
  <si>
    <t>3,84-5,20</t>
  </si>
  <si>
    <t>4,55-5,20</t>
  </si>
  <si>
    <t>650</t>
  </si>
  <si>
    <t>630</t>
  </si>
  <si>
    <t>450</t>
  </si>
  <si>
    <t>400</t>
  </si>
  <si>
    <t>360</t>
  </si>
  <si>
    <t>315</t>
  </si>
  <si>
    <t>310</t>
  </si>
  <si>
    <t>300</t>
  </si>
  <si>
    <t>280</t>
  </si>
  <si>
    <t>270</t>
  </si>
  <si>
    <t>28</t>
  </si>
  <si>
    <t>40</t>
  </si>
  <si>
    <t>45</t>
  </si>
  <si>
    <t>50</t>
  </si>
  <si>
    <t>60</t>
  </si>
  <si>
    <t>70</t>
  </si>
  <si>
    <t>75</t>
  </si>
  <si>
    <t>80</t>
  </si>
  <si>
    <t>85</t>
  </si>
  <si>
    <t>90</t>
  </si>
  <si>
    <t>100</t>
  </si>
  <si>
    <t>105</t>
  </si>
  <si>
    <t>110</t>
  </si>
  <si>
    <t>115</t>
  </si>
  <si>
    <t>120</t>
  </si>
  <si>
    <t>130</t>
  </si>
  <si>
    <t>138</t>
  </si>
  <si>
    <t>140</t>
  </si>
  <si>
    <t>150</t>
  </si>
  <si>
    <t>160</t>
  </si>
  <si>
    <t>170</t>
  </si>
  <si>
    <t>180</t>
  </si>
  <si>
    <t>200</t>
  </si>
  <si>
    <t>210</t>
  </si>
  <si>
    <t>215</t>
  </si>
  <si>
    <t>220</t>
  </si>
  <si>
    <t>230</t>
  </si>
  <si>
    <t>240</t>
  </si>
  <si>
    <t>260</t>
  </si>
  <si>
    <t>14Х2ГМР</t>
  </si>
  <si>
    <t>5ХНМ литой</t>
  </si>
  <si>
    <t>60С2А</t>
  </si>
  <si>
    <t>4Х5МФС</t>
  </si>
  <si>
    <t>50Г</t>
  </si>
  <si>
    <t>48ХН3А</t>
  </si>
  <si>
    <t>38ХГН</t>
  </si>
  <si>
    <t>38ХС</t>
  </si>
  <si>
    <t>СЧ-20</t>
  </si>
  <si>
    <t xml:space="preserve">40Х </t>
  </si>
  <si>
    <t xml:space="preserve">34ХН1М </t>
  </si>
  <si>
    <t xml:space="preserve">38Х2Н2МА </t>
  </si>
  <si>
    <t>ОХН1М</t>
  </si>
  <si>
    <t>7Х</t>
  </si>
  <si>
    <t>20Х13</t>
  </si>
  <si>
    <t>30Х</t>
  </si>
  <si>
    <t>25Х2М1Ф</t>
  </si>
  <si>
    <t>ВНС16-Ш</t>
  </si>
  <si>
    <t>У9А</t>
  </si>
  <si>
    <t>08Х17Т</t>
  </si>
  <si>
    <t>30ХГСН2А</t>
  </si>
  <si>
    <t>60Г</t>
  </si>
  <si>
    <t>12Х2Н4А</t>
  </si>
  <si>
    <t>60С2</t>
  </si>
  <si>
    <t>У12А</t>
  </si>
  <si>
    <t>65Г</t>
  </si>
  <si>
    <t xml:space="preserve">12Х1МФ </t>
  </si>
  <si>
    <t>20Х2Н3А</t>
  </si>
  <si>
    <t>45Г</t>
  </si>
  <si>
    <t>12Х2НВФА</t>
  </si>
  <si>
    <t>15Х5М</t>
  </si>
  <si>
    <t>5Х2ГС</t>
  </si>
  <si>
    <t>45ХНМ</t>
  </si>
  <si>
    <t>18Г2С</t>
  </si>
  <si>
    <t>14 калибр.</t>
  </si>
  <si>
    <t>19 калибр.</t>
  </si>
  <si>
    <t>22 калибр.</t>
  </si>
  <si>
    <t>27 калибр.</t>
  </si>
  <si>
    <t>32 калибр.</t>
  </si>
  <si>
    <t>41 калибр.</t>
  </si>
  <si>
    <t>46 калибр.</t>
  </si>
  <si>
    <t>Адрес: 454038,  г. Челябинск, ул. Шоссе Металлургов д. 27П, оф. 9
Телефоны: 8 (351) 214-12-10
сот: 8-912-316-06-80 | 8-922-018-44-09 | 8-932-302-83-55 | эл.почта: chelstal@list.ru</t>
  </si>
  <si>
    <t>Адрес: 454038,  г. Челябинск, ул. Шоссе Металлургов д. 27П, оф. 9
Телефоны: 8 (351) 214-12-10
сот: 8-912-316-06-80 Вадим / эл.почта: chelstal@list.ru</t>
  </si>
  <si>
    <r>
      <t xml:space="preserve">Адрес: 454038,  г. Челябинск, ул. Шоссе Металлургов д. 27П, оф. 9
Телефоны: 8 (351) 214-12-10
сот: </t>
    </r>
    <r>
      <rPr>
        <u/>
        <sz val="10"/>
        <rFont val="Arial"/>
        <family val="2"/>
        <charset val="204"/>
      </rPr>
      <t>8-912-316-06-80</t>
    </r>
    <r>
      <rPr>
        <sz val="10"/>
        <rFont val="Arial"/>
        <family val="2"/>
        <charset val="204"/>
      </rPr>
      <t xml:space="preserve"> | </t>
    </r>
    <r>
      <rPr>
        <u/>
        <sz val="10"/>
        <rFont val="Arial"/>
        <family val="2"/>
        <charset val="204"/>
      </rPr>
      <t>8-922-018-44-09</t>
    </r>
    <r>
      <rPr>
        <sz val="10"/>
        <rFont val="Arial"/>
        <family val="2"/>
        <charset val="204"/>
      </rPr>
      <t xml:space="preserve"> | </t>
    </r>
    <r>
      <rPr>
        <u/>
        <sz val="10"/>
        <rFont val="Arial"/>
        <family val="2"/>
        <charset val="204"/>
      </rPr>
      <t>8-932-302-83-55</t>
    </r>
    <r>
      <rPr>
        <sz val="10"/>
        <rFont val="Arial"/>
        <family val="2"/>
        <charset val="204"/>
      </rPr>
      <t xml:space="preserve"> | эл.почта: </t>
    </r>
    <r>
      <rPr>
        <u/>
        <sz val="10"/>
        <rFont val="Arial"/>
        <family val="2"/>
        <charset val="204"/>
      </rPr>
      <t>chelstal@list.ru</t>
    </r>
  </si>
  <si>
    <t>200*80*5</t>
  </si>
  <si>
    <t>4.50-4.70</t>
  </si>
  <si>
    <t>4.10-4.90</t>
  </si>
  <si>
    <t xml:space="preserve">22 </t>
  </si>
  <si>
    <t>4,45 серебр.</t>
  </si>
  <si>
    <t>2,00-2,50</t>
  </si>
  <si>
    <t>4,6 серебр.</t>
  </si>
  <si>
    <t>5,00-5,50</t>
  </si>
  <si>
    <t>3,20-3,40</t>
  </si>
  <si>
    <t>4,02-4,75</t>
  </si>
  <si>
    <t>14Х2Н3МА</t>
  </si>
  <si>
    <t>15Н2М-Ш</t>
  </si>
  <si>
    <t>15ХГН2ТА</t>
  </si>
  <si>
    <t xml:space="preserve">25Х2Н4ВА </t>
  </si>
  <si>
    <t xml:space="preserve">19ХГН </t>
  </si>
  <si>
    <t>20ХГНМ</t>
  </si>
  <si>
    <t>6,18-6,30</t>
  </si>
  <si>
    <t>70 ков.</t>
  </si>
  <si>
    <t>80 ков.</t>
  </si>
  <si>
    <t>38Х2Н2МА</t>
  </si>
  <si>
    <t>2,00-2,30</t>
  </si>
  <si>
    <t>38Х2Н2В</t>
  </si>
  <si>
    <t>56</t>
  </si>
  <si>
    <t>4,78-4,90</t>
  </si>
  <si>
    <t>4,54-4,82</t>
  </si>
  <si>
    <t>4,82-5,36</t>
  </si>
  <si>
    <t>4,43-5,70</t>
  </si>
  <si>
    <t>4,35-4,56</t>
  </si>
  <si>
    <t>4,00-4,77</t>
  </si>
  <si>
    <t>4,40-4,60</t>
  </si>
  <si>
    <t>3,96-5,80</t>
  </si>
  <si>
    <t>4,33-4,35</t>
  </si>
  <si>
    <t>3,00-3,20</t>
  </si>
  <si>
    <t xml:space="preserve">15ХМ </t>
  </si>
  <si>
    <t>4,92-4,95</t>
  </si>
  <si>
    <t>4,88-4,97</t>
  </si>
  <si>
    <t>15Х5МФ</t>
  </si>
  <si>
    <t>18Х3МВ (ЭИ578)</t>
  </si>
  <si>
    <t>42</t>
  </si>
  <si>
    <t>3,85-4,86</t>
  </si>
  <si>
    <t>4,18-5,20</t>
  </si>
  <si>
    <t>3,47-4,88</t>
  </si>
  <si>
    <t>190</t>
  </si>
  <si>
    <t>3,65-3,73</t>
  </si>
  <si>
    <t>1,20-1,30</t>
  </si>
  <si>
    <t>460</t>
  </si>
  <si>
    <t>25Х1МФ</t>
  </si>
  <si>
    <t>5,19-5,23</t>
  </si>
  <si>
    <t>3,34-4,90</t>
  </si>
  <si>
    <t>25Х2М1Ф (ЭИ723)</t>
  </si>
  <si>
    <t>25</t>
  </si>
  <si>
    <t>5,32-5,36</t>
  </si>
  <si>
    <t>88</t>
  </si>
  <si>
    <t>25Х3М1 (ЭИ723)</t>
  </si>
  <si>
    <t>550х75</t>
  </si>
  <si>
    <t xml:space="preserve">30Х2ГСМФ    </t>
  </si>
  <si>
    <t>34Х1ВА (ОХВ)</t>
  </si>
  <si>
    <t>3,06-3,36</t>
  </si>
  <si>
    <t>25Х12Н2В2М2Ф (ЭП311)</t>
  </si>
  <si>
    <t>2,90-3,00</t>
  </si>
  <si>
    <t>20Х3МВФ-Ш (ЭИ415)</t>
  </si>
  <si>
    <t xml:space="preserve">09Х16Н4Б (ЭП 56)   </t>
  </si>
  <si>
    <t>2,50-4,30</t>
  </si>
  <si>
    <t>12ХН3</t>
  </si>
  <si>
    <t>2,80-2,90</t>
  </si>
  <si>
    <t>14Х17Н2</t>
  </si>
  <si>
    <t>3,50-4,02</t>
  </si>
  <si>
    <t xml:space="preserve">У12А </t>
  </si>
  <si>
    <t>16 калибр.</t>
  </si>
  <si>
    <t>4,20-4,40</t>
  </si>
  <si>
    <t>3 бухты</t>
  </si>
  <si>
    <t>3,00-3,35</t>
  </si>
  <si>
    <t>7ХГ2ВМ</t>
  </si>
  <si>
    <t>Х12</t>
  </si>
  <si>
    <t>105 ков.</t>
  </si>
  <si>
    <t>Х12М</t>
  </si>
  <si>
    <t xml:space="preserve">4ХВ2С </t>
  </si>
  <si>
    <t>3Х2В8Ф</t>
  </si>
  <si>
    <t>3,05-3,10</t>
  </si>
  <si>
    <t xml:space="preserve">4Х3ВМФ </t>
  </si>
  <si>
    <t>3,90-4,00</t>
  </si>
  <si>
    <t>1,65-1,69</t>
  </si>
  <si>
    <t xml:space="preserve">8Х4В2МФС (ЭП761) </t>
  </si>
  <si>
    <t>92 ков.</t>
  </si>
  <si>
    <t>1,27-1,43</t>
  </si>
  <si>
    <t>11Х4В2МФ3С2 (ДИ37)</t>
  </si>
  <si>
    <t xml:space="preserve">60С2ХА  </t>
  </si>
  <si>
    <t>16 ржав.</t>
  </si>
  <si>
    <t>бухта</t>
  </si>
  <si>
    <t>3,10-3,45</t>
  </si>
  <si>
    <t>12ХН</t>
  </si>
  <si>
    <t>1,36-1,40</t>
  </si>
  <si>
    <t>Х12Ф1</t>
  </si>
  <si>
    <t xml:space="preserve">20ХН3А </t>
  </si>
  <si>
    <t>4Х5МФ1С</t>
  </si>
  <si>
    <t>5ХНВ</t>
  </si>
  <si>
    <t>Р9</t>
  </si>
  <si>
    <t xml:space="preserve">ХВГ </t>
  </si>
  <si>
    <t xml:space="preserve">20Х12ВНМФ (ЭП428) </t>
  </si>
  <si>
    <t>6Х3МФС (ЭП788)</t>
  </si>
  <si>
    <t xml:space="preserve">20Х1М1Ф1БР (ЭП44)  </t>
  </si>
  <si>
    <t xml:space="preserve">8Х4В9Ф2-Ш (ЭИ347) </t>
  </si>
  <si>
    <t>08Х18Т1</t>
  </si>
  <si>
    <t>29 калибр.</t>
  </si>
  <si>
    <t>Проволока</t>
  </si>
  <si>
    <t>20Х23Н18</t>
  </si>
  <si>
    <t>06Х19Н9Т</t>
  </si>
  <si>
    <t>ХН32ВТ (неосветл.)</t>
  </si>
  <si>
    <t xml:space="preserve">03Х13Н5К10М3ФБ (ЭП931вд) </t>
  </si>
  <si>
    <t>09Х15Н8Ю (ЭИ904)</t>
  </si>
  <si>
    <t>10Х16Н25АМ6 (ЭИ395)</t>
  </si>
  <si>
    <t>13Х11Н2В2МФ (ЭИ961-Ш)</t>
  </si>
  <si>
    <t>7 калибр.</t>
  </si>
  <si>
    <t>2,74-3,34</t>
  </si>
  <si>
    <t>18Х11МНФБ (ЭП291)</t>
  </si>
  <si>
    <t>4,00-4,00</t>
  </si>
  <si>
    <t>4,00-4,50</t>
  </si>
  <si>
    <t>25Х13Н2</t>
  </si>
  <si>
    <t>45Х14Н14В2М (ЭП69)</t>
  </si>
  <si>
    <t>80Х20НС (ЭИ992)</t>
  </si>
  <si>
    <t>95Х18</t>
  </si>
  <si>
    <t xml:space="preserve">17 калибр. </t>
  </si>
  <si>
    <t xml:space="preserve">36 калибр. </t>
  </si>
  <si>
    <t>03Х11Н10М2Т(ЭП678)</t>
  </si>
  <si>
    <t>2,5</t>
  </si>
  <si>
    <t>1,5</t>
  </si>
  <si>
    <t>08ПС</t>
  </si>
  <si>
    <t>3 (чич)</t>
  </si>
  <si>
    <t>3 (ромб)</t>
  </si>
  <si>
    <t>3 (хранение)</t>
  </si>
  <si>
    <r>
      <t xml:space="preserve">3 </t>
    </r>
    <r>
      <rPr>
        <b/>
        <sz val="10"/>
        <color rgb="FFFF0000"/>
        <rFont val="Arial"/>
        <family val="2"/>
        <charset val="204"/>
      </rPr>
      <t>(ТУ 14-123-254) Мех.испыт.</t>
    </r>
  </si>
  <si>
    <t>09Г2С (С345)</t>
  </si>
  <si>
    <r>
      <t xml:space="preserve">09Г2С </t>
    </r>
    <r>
      <rPr>
        <b/>
        <sz val="10"/>
        <color rgb="FFFF0000"/>
        <rFont val="Arial"/>
        <family val="2"/>
        <charset val="204"/>
      </rPr>
      <t xml:space="preserve">(ТУ 14-123-254) </t>
    </r>
  </si>
  <si>
    <t>09ГСФ-К52</t>
  </si>
  <si>
    <t>10ХСНД</t>
  </si>
  <si>
    <t>15ХСНД</t>
  </si>
  <si>
    <t>AISI 304 (08Х18Н10Т)</t>
  </si>
  <si>
    <t>AISI 316Ti</t>
  </si>
  <si>
    <t>AISI 304</t>
  </si>
  <si>
    <t>AISI 904 (06ХН28МДТ)</t>
  </si>
  <si>
    <t>AISI 201</t>
  </si>
  <si>
    <t>08Х17</t>
  </si>
  <si>
    <t>09Х16Н4Б</t>
  </si>
  <si>
    <t xml:space="preserve">08ГБФ-У-К50 </t>
  </si>
  <si>
    <t>13Г1С-У</t>
  </si>
  <si>
    <t>17Г1С-У</t>
  </si>
  <si>
    <t>MAGSTRONG Н450</t>
  </si>
  <si>
    <t>MAGSTRONG Н500</t>
  </si>
  <si>
    <t>HARDOX 500</t>
  </si>
  <si>
    <t>HARDOX 600</t>
  </si>
  <si>
    <t>12ХМ</t>
  </si>
  <si>
    <t>20ЮЧ</t>
  </si>
  <si>
    <t>12Г2СБ</t>
  </si>
  <si>
    <t>GrBMO</t>
  </si>
  <si>
    <t>L485M(X70M)</t>
  </si>
  <si>
    <t>X70</t>
  </si>
  <si>
    <t>255 (хранение)</t>
  </si>
  <si>
    <t xml:space="preserve">09Г2С </t>
  </si>
  <si>
    <t>3 (усиленный)</t>
  </si>
  <si>
    <t>50Ш1</t>
  </si>
  <si>
    <t>50Ш2</t>
  </si>
  <si>
    <t>1,50-4,98</t>
  </si>
  <si>
    <t>Арматура</t>
  </si>
  <si>
    <t>А500</t>
  </si>
  <si>
    <t>6,00-11,70</t>
  </si>
  <si>
    <t>35Ш2</t>
  </si>
  <si>
    <t>3 (ПВЛ)</t>
  </si>
  <si>
    <t>30Б2</t>
  </si>
  <si>
    <t>45М</t>
  </si>
  <si>
    <t>10У</t>
  </si>
  <si>
    <t>Ширина / Длина</t>
  </si>
  <si>
    <t>Лист г/к</t>
  </si>
  <si>
    <t>1500х6400</t>
  </si>
  <si>
    <t xml:space="preserve">1050х1500 </t>
  </si>
  <si>
    <t>1500х6000</t>
  </si>
  <si>
    <t>2000х6000</t>
  </si>
  <si>
    <t>2520х12000</t>
  </si>
  <si>
    <t>1500х5700</t>
  </si>
  <si>
    <t>1900х5500</t>
  </si>
  <si>
    <t>1600х6000</t>
  </si>
  <si>
    <t>1500х5500</t>
  </si>
  <si>
    <t>1140х3790</t>
  </si>
  <si>
    <t>1400х1470</t>
  </si>
  <si>
    <t>1200х1500</t>
  </si>
  <si>
    <t>1250х2500</t>
  </si>
  <si>
    <t>2040х5800</t>
  </si>
  <si>
    <t>1000х2000</t>
  </si>
  <si>
    <t>2850х2000</t>
  </si>
  <si>
    <t xml:space="preserve">1100х1500 </t>
  </si>
  <si>
    <t>1550х6000</t>
  </si>
  <si>
    <t>1650х8800</t>
  </si>
  <si>
    <t>2000х5500</t>
  </si>
  <si>
    <t>410х1500</t>
  </si>
  <si>
    <t>2220х6000</t>
  </si>
  <si>
    <t>2350х7400</t>
  </si>
  <si>
    <t>1000х2100</t>
  </si>
  <si>
    <t>980х2000</t>
  </si>
  <si>
    <t>1000х1780</t>
  </si>
  <si>
    <t>1700х2100</t>
  </si>
  <si>
    <t>1700х2050</t>
  </si>
  <si>
    <t>1940х2450</t>
  </si>
  <si>
    <t>1940х2550</t>
  </si>
  <si>
    <t>2000х3000</t>
  </si>
  <si>
    <t>2100х2350</t>
  </si>
  <si>
    <t>2600х2720</t>
  </si>
  <si>
    <t>1600х2660</t>
  </si>
  <si>
    <t>1050х4000</t>
  </si>
  <si>
    <t>1500х4050</t>
  </si>
  <si>
    <t>2370х3450</t>
  </si>
  <si>
    <t>1750х2300</t>
  </si>
  <si>
    <t>1590х4500</t>
  </si>
  <si>
    <t>1140х4600</t>
  </si>
  <si>
    <t>1500х3000</t>
  </si>
  <si>
    <t>1900х5000</t>
  </si>
  <si>
    <t>2000х3900</t>
  </si>
  <si>
    <t>2000х8000</t>
  </si>
  <si>
    <t>1880х12000</t>
  </si>
  <si>
    <t>1500х3500</t>
  </si>
  <si>
    <t>1500х2800</t>
  </si>
  <si>
    <t>2000Х8900</t>
  </si>
  <si>
    <t xml:space="preserve">1950х9050 </t>
  </si>
  <si>
    <t>2190х8000</t>
  </si>
  <si>
    <t>1300х4500</t>
  </si>
  <si>
    <t>1020х3800</t>
  </si>
  <si>
    <t>2000х7500</t>
  </si>
  <si>
    <t>1500х4000</t>
  </si>
  <si>
    <t>1500х4600</t>
  </si>
  <si>
    <t>1690х4780</t>
  </si>
  <si>
    <t>1050х1850</t>
  </si>
  <si>
    <t>1000х3100</t>
  </si>
  <si>
    <t>1100х2200</t>
  </si>
  <si>
    <t>480х2000</t>
  </si>
  <si>
    <t xml:space="preserve">1500х2000 </t>
  </si>
  <si>
    <t>2500х12000</t>
  </si>
  <si>
    <t>2000х4000</t>
  </si>
  <si>
    <t>2000х2000</t>
  </si>
  <si>
    <t>4360х12000</t>
  </si>
  <si>
    <t>2200х12000</t>
  </si>
  <si>
    <t>1570х5200</t>
  </si>
  <si>
    <t>1880х11020</t>
  </si>
  <si>
    <t>1880х11600</t>
  </si>
  <si>
    <t>2180х12000</t>
  </si>
  <si>
    <t>1390х5340</t>
  </si>
  <si>
    <t>1610х12000</t>
  </si>
  <si>
    <t>4350х12000</t>
  </si>
  <si>
    <t>490х660</t>
  </si>
  <si>
    <t>Лист оц.</t>
  </si>
  <si>
    <t>08ПС (без упаковки)</t>
  </si>
  <si>
    <t>Лист ПВЛ</t>
  </si>
  <si>
    <t>1200х2500</t>
  </si>
  <si>
    <t>Лист ромб</t>
  </si>
  <si>
    <t>1</t>
  </si>
  <si>
    <t>2</t>
  </si>
  <si>
    <t>25х6000</t>
  </si>
  <si>
    <t>40х6000</t>
  </si>
  <si>
    <t>Рулон краш</t>
  </si>
  <si>
    <t>Рулон оц.</t>
  </si>
  <si>
    <t>09Г2ФБ</t>
  </si>
  <si>
    <t>Рулон</t>
  </si>
  <si>
    <t>Лист (чич)</t>
  </si>
  <si>
    <t>Толщ.</t>
  </si>
  <si>
    <t>0,5</t>
  </si>
  <si>
    <t>0,7</t>
  </si>
  <si>
    <t>0,8</t>
  </si>
  <si>
    <t>0,45</t>
  </si>
  <si>
    <t>510</t>
  </si>
  <si>
    <t>22</t>
  </si>
  <si>
    <t>34</t>
  </si>
  <si>
    <t>1600х12000</t>
  </si>
  <si>
    <t xml:space="preserve">2000х6000 </t>
  </si>
  <si>
    <t>1500х5000/6000</t>
  </si>
  <si>
    <t>2000х6400/8000</t>
  </si>
  <si>
    <t>1500х3000/6000</t>
  </si>
  <si>
    <t>1500х5500/6000</t>
  </si>
  <si>
    <t>1600х2130/2400</t>
  </si>
  <si>
    <t>1600х3130/3330</t>
  </si>
  <si>
    <t>1500х6000/3000</t>
  </si>
  <si>
    <t>1500х2000/6000</t>
  </si>
  <si>
    <t>1560х12000</t>
  </si>
  <si>
    <t>1750х12000</t>
  </si>
  <si>
    <t>1880х5800</t>
  </si>
  <si>
    <t>1880х11800</t>
  </si>
  <si>
    <t>2000х12000</t>
  </si>
  <si>
    <t>1540х12000</t>
  </si>
  <si>
    <t xml:space="preserve">2000х12100 </t>
  </si>
  <si>
    <t>2340х12100</t>
  </si>
  <si>
    <t xml:space="preserve">1540х12000 </t>
  </si>
  <si>
    <t>2000х5200-5620</t>
  </si>
  <si>
    <t>2150х5650</t>
  </si>
  <si>
    <t>2300х4320-5360</t>
  </si>
  <si>
    <t>2300х5360</t>
  </si>
  <si>
    <t>L450ME</t>
  </si>
  <si>
    <t>Х70</t>
  </si>
  <si>
    <t>2490х12000</t>
  </si>
  <si>
    <t>1550х12000</t>
  </si>
  <si>
    <t>3100х12000</t>
  </si>
  <si>
    <t>3750х12000</t>
  </si>
  <si>
    <t>3130х12000</t>
  </si>
  <si>
    <t>3140х12000</t>
  </si>
  <si>
    <t>1640х12000</t>
  </si>
  <si>
    <t>1580х12000</t>
  </si>
  <si>
    <t>L415ME</t>
  </si>
  <si>
    <t>X52MS</t>
  </si>
  <si>
    <t>X70ME</t>
  </si>
  <si>
    <t>L485ME</t>
  </si>
  <si>
    <t>К55-D</t>
  </si>
  <si>
    <t>X60MS</t>
  </si>
  <si>
    <t xml:space="preserve">1800х5500 </t>
  </si>
  <si>
    <t>10ХСНД-6</t>
  </si>
  <si>
    <t>2000х4600</t>
  </si>
  <si>
    <t>1890х3700</t>
  </si>
  <si>
    <t>1700х4670</t>
  </si>
  <si>
    <t xml:space="preserve"> 1350х3250</t>
  </si>
  <si>
    <t>2580х2870+ 1500х3250</t>
  </si>
  <si>
    <t>1850х2350</t>
  </si>
  <si>
    <t>1720х2600</t>
  </si>
  <si>
    <t>1700х3800</t>
  </si>
  <si>
    <t>1800х2600+ 1300х3300</t>
  </si>
  <si>
    <t>2680х1900+ 1350х4500</t>
  </si>
  <si>
    <t>2720х2750+ 1600х3250</t>
  </si>
  <si>
    <t>30 (узк)</t>
  </si>
  <si>
    <t>09Г2С-15</t>
  </si>
  <si>
    <t>1500х2710</t>
  </si>
  <si>
    <t>2710х3700</t>
  </si>
  <si>
    <t>2600х3900</t>
  </si>
  <si>
    <t>1460х2900</t>
  </si>
  <si>
    <t>1600х4600</t>
  </si>
  <si>
    <t>1800х4240</t>
  </si>
  <si>
    <t>1630х5800</t>
  </si>
  <si>
    <t>С345</t>
  </si>
  <si>
    <t xml:space="preserve">1570х11800 </t>
  </si>
  <si>
    <t xml:space="preserve">1570х8800 </t>
  </si>
  <si>
    <t>2340х5400</t>
  </si>
  <si>
    <t>ХН28ВМАБ-ВД</t>
  </si>
  <si>
    <t>ХН56ВМТЮ-ВД</t>
  </si>
  <si>
    <t>ХН45МВТЮБР-ИД</t>
  </si>
  <si>
    <t>700х1400</t>
  </si>
  <si>
    <t>640х1300</t>
  </si>
  <si>
    <t>700х1200</t>
  </si>
  <si>
    <t>580х820</t>
  </si>
  <si>
    <t>620х680</t>
  </si>
  <si>
    <t>1000х1750</t>
  </si>
  <si>
    <t>1000*2000</t>
  </si>
  <si>
    <t>1500*3000</t>
  </si>
  <si>
    <t>1500х5200</t>
  </si>
  <si>
    <t>500х700</t>
  </si>
  <si>
    <t>700х1470</t>
  </si>
  <si>
    <t>1230х1430</t>
  </si>
  <si>
    <t>1500х4650</t>
  </si>
  <si>
    <t>Лист г/к (ЧМК)</t>
  </si>
  <si>
    <t>Лист г/к (ММК)</t>
  </si>
  <si>
    <t>10ПС, RAL 9003</t>
  </si>
  <si>
    <t>63*5</t>
  </si>
  <si>
    <t>75*5 (6)</t>
  </si>
  <si>
    <t>90*7 (8)</t>
  </si>
  <si>
    <t>100*7 (8)</t>
  </si>
  <si>
    <t>20У</t>
  </si>
  <si>
    <t>24У</t>
  </si>
  <si>
    <t>AISI 430 (12Х17)</t>
  </si>
  <si>
    <t>1240х1270</t>
  </si>
  <si>
    <t>330х450</t>
  </si>
  <si>
    <t>600х2000</t>
  </si>
  <si>
    <t>1400х3500</t>
  </si>
  <si>
    <t>100х2000</t>
  </si>
  <si>
    <t>ЭП410-Ш (08Х15Н5Д2Т)</t>
  </si>
  <si>
    <t>ЭП 56 (09Х16Н4Б)</t>
  </si>
  <si>
    <t>3Х2Н2МВФ (3Х3М3Ф)</t>
  </si>
  <si>
    <t>40П/У</t>
  </si>
  <si>
    <t>75*5</t>
  </si>
  <si>
    <t>125*8</t>
  </si>
  <si>
    <t>3 (С245)</t>
  </si>
  <si>
    <t>08КП</t>
  </si>
  <si>
    <t>AISI304</t>
  </si>
  <si>
    <t>Лист нерж.</t>
  </si>
  <si>
    <t>3 / S235JR EN10025</t>
  </si>
  <si>
    <t>2050х5500</t>
  </si>
  <si>
    <r>
      <t xml:space="preserve">С345 </t>
    </r>
    <r>
      <rPr>
        <b/>
        <sz val="10"/>
        <color rgb="FFFF0000"/>
        <rFont val="Arial"/>
        <family val="2"/>
        <charset val="204"/>
      </rPr>
      <t xml:space="preserve">(ТУ 14-123-254) </t>
    </r>
  </si>
  <si>
    <r>
      <t xml:space="preserve">3 </t>
    </r>
    <r>
      <rPr>
        <b/>
        <sz val="10"/>
        <color rgb="FFFF0000"/>
        <rFont val="Arial"/>
        <family val="2"/>
        <charset val="204"/>
      </rPr>
      <t xml:space="preserve">(ТУ 14-123-254) </t>
    </r>
  </si>
  <si>
    <t>1500/2000х5500</t>
  </si>
  <si>
    <t>1500х9000</t>
  </si>
  <si>
    <t>1850х5100</t>
  </si>
  <si>
    <t>1550х7000</t>
  </si>
  <si>
    <r>
      <t xml:space="preserve">40Х </t>
    </r>
    <r>
      <rPr>
        <b/>
        <sz val="10"/>
        <color rgb="FFFF0000"/>
        <rFont val="Arial"/>
        <family val="2"/>
        <charset val="204"/>
      </rPr>
      <t xml:space="preserve">(ТУ 14-123-254) </t>
    </r>
  </si>
  <si>
    <t>1500х5400</t>
  </si>
  <si>
    <t>С500</t>
  </si>
  <si>
    <t>Лист жар</t>
  </si>
  <si>
    <t>1000х3500</t>
  </si>
  <si>
    <t>1200х3500</t>
  </si>
  <si>
    <t>1300x4680</t>
  </si>
  <si>
    <t>1500x4260</t>
  </si>
  <si>
    <t>24М</t>
  </si>
  <si>
    <t>30М</t>
  </si>
  <si>
    <t>40Ш2</t>
  </si>
  <si>
    <t>7,00-11,70</t>
  </si>
  <si>
    <t>7,00-11,00</t>
  </si>
  <si>
    <t>10,00-11,00</t>
  </si>
  <si>
    <t>5,00-12,00</t>
  </si>
  <si>
    <t>5,00-7,00</t>
  </si>
  <si>
    <t>160х50х4</t>
  </si>
  <si>
    <t>9,50-12,00</t>
  </si>
  <si>
    <t>125*8 (10)</t>
  </si>
  <si>
    <t>6.30-11.70</t>
  </si>
  <si>
    <t>40У</t>
  </si>
  <si>
    <t>25Г2С</t>
  </si>
  <si>
    <t>35ГС</t>
  </si>
  <si>
    <t>Труба проф</t>
  </si>
  <si>
    <t>140*140*8</t>
  </si>
  <si>
    <t>180*100*4</t>
  </si>
  <si>
    <t>10,30-12,00</t>
  </si>
  <si>
    <t>180*180*7</t>
  </si>
  <si>
    <t>180*180*9</t>
  </si>
  <si>
    <t>09Г2С (хранение)</t>
  </si>
  <si>
    <t>3/09Г2С (хранение)</t>
  </si>
  <si>
    <t>200*160*6</t>
  </si>
  <si>
    <t>240*160*6</t>
  </si>
  <si>
    <t>300*200*6</t>
  </si>
  <si>
    <t>Двутавр</t>
  </si>
  <si>
    <t>Двутавр свар</t>
  </si>
  <si>
    <t>Швеллер г/к</t>
  </si>
  <si>
    <t>Швеллер гнут</t>
  </si>
  <si>
    <t>Уголок г/к равн</t>
  </si>
  <si>
    <t>Уголок г/к неравн</t>
  </si>
  <si>
    <t>63*40*5</t>
  </si>
  <si>
    <t>75*50*5</t>
  </si>
  <si>
    <t>75*50*6</t>
  </si>
  <si>
    <t>100*63*6</t>
  </si>
  <si>
    <t>100*63*8</t>
  </si>
  <si>
    <t>140*90*8</t>
  </si>
  <si>
    <t>140*90*10</t>
  </si>
  <si>
    <t>160*100*10</t>
  </si>
  <si>
    <t>200*125*12</t>
  </si>
  <si>
    <t>4,00-6,00/11,70</t>
  </si>
  <si>
    <t>1Х9В6 (ЭП-726)</t>
  </si>
  <si>
    <t>140х280х380</t>
  </si>
  <si>
    <t>нет в наличии</t>
  </si>
  <si>
    <t>140х160х540</t>
  </si>
  <si>
    <t>200х290х410</t>
  </si>
  <si>
    <t>6Х3МФС</t>
  </si>
  <si>
    <t xml:space="preserve"> </t>
  </si>
  <si>
    <t>16х500</t>
  </si>
  <si>
    <t>30х360х1200</t>
  </si>
  <si>
    <t>110х380х470</t>
  </si>
  <si>
    <t>300(250)х340х740</t>
  </si>
  <si>
    <t>30х400</t>
  </si>
  <si>
    <t>30х420</t>
  </si>
  <si>
    <t>60х400</t>
  </si>
  <si>
    <t>90х610</t>
  </si>
  <si>
    <t>6х310</t>
  </si>
  <si>
    <t>8х760</t>
  </si>
  <si>
    <t>10х310</t>
  </si>
  <si>
    <t>12х610</t>
  </si>
  <si>
    <t>14х610</t>
  </si>
  <si>
    <t>16х610</t>
  </si>
  <si>
    <t>40х200</t>
  </si>
  <si>
    <t>50х610</t>
  </si>
  <si>
    <t>220х610</t>
  </si>
  <si>
    <t>250х610</t>
  </si>
  <si>
    <t>620/ф380</t>
  </si>
  <si>
    <t>40х185х750</t>
  </si>
  <si>
    <t>90х610 УЗК</t>
  </si>
  <si>
    <t>55 (60)</t>
  </si>
  <si>
    <t>20ХН4ФА</t>
  </si>
  <si>
    <t>500х730х610</t>
  </si>
  <si>
    <t>630/ф380</t>
  </si>
  <si>
    <t>43 (48)</t>
  </si>
  <si>
    <t>105х320х430</t>
  </si>
  <si>
    <t>60х410х635</t>
  </si>
  <si>
    <t>70х650х670</t>
  </si>
  <si>
    <t>120х680х760</t>
  </si>
  <si>
    <t>130х350х470</t>
  </si>
  <si>
    <t>400х460</t>
  </si>
  <si>
    <t>12ГС</t>
  </si>
  <si>
    <t>45 (50)</t>
  </si>
  <si>
    <t>45 (40)</t>
  </si>
  <si>
    <t>620х2020</t>
  </si>
  <si>
    <t>750х1060</t>
  </si>
  <si>
    <t>1270х2520</t>
  </si>
  <si>
    <t>1040х1280</t>
  </si>
  <si>
    <t>1020х1150</t>
  </si>
  <si>
    <t>1200х1420</t>
  </si>
  <si>
    <t>1030х1550</t>
  </si>
  <si>
    <t>160(130)</t>
  </si>
  <si>
    <t>320х670</t>
  </si>
  <si>
    <t>285х325</t>
  </si>
  <si>
    <t>420х1050(трещина)</t>
  </si>
  <si>
    <t>2000х3730</t>
  </si>
  <si>
    <t>1580х3670</t>
  </si>
  <si>
    <t>1500х6000/4580</t>
  </si>
  <si>
    <t>1500х1400</t>
  </si>
  <si>
    <t>70(67)</t>
  </si>
  <si>
    <t>Лист ков</t>
  </si>
  <si>
    <t>1050х2580</t>
  </si>
  <si>
    <t>950х1200</t>
  </si>
  <si>
    <t>340х340</t>
  </si>
  <si>
    <t>550х680</t>
  </si>
  <si>
    <t>105(120)</t>
  </si>
  <si>
    <t>950х2950</t>
  </si>
  <si>
    <t>770х3550</t>
  </si>
  <si>
    <t xml:space="preserve"> 1980х3250/970х475</t>
  </si>
  <si>
    <t xml:space="preserve">600х600 </t>
  </si>
  <si>
    <t>230х455</t>
  </si>
  <si>
    <t>1550х3050</t>
  </si>
  <si>
    <t>260х475</t>
  </si>
  <si>
    <t>145(155)</t>
  </si>
  <si>
    <t>340х1370</t>
  </si>
  <si>
    <t>1550х3800</t>
  </si>
  <si>
    <t>1550х5000</t>
  </si>
  <si>
    <t>1600х3850</t>
  </si>
  <si>
    <t>620х1100</t>
  </si>
  <si>
    <t>1550(1600)х3950;1100(1170)х2690</t>
  </si>
  <si>
    <t>1700х2850</t>
  </si>
  <si>
    <t>1700х2900</t>
  </si>
  <si>
    <t>330х840</t>
  </si>
  <si>
    <t>1520х5400</t>
  </si>
  <si>
    <t>1050(1100)х5600</t>
  </si>
  <si>
    <t>480х930</t>
  </si>
  <si>
    <t>480х2345</t>
  </si>
  <si>
    <t>480(470)х660</t>
  </si>
  <si>
    <t>200(160)</t>
  </si>
  <si>
    <t>460х480</t>
  </si>
  <si>
    <t>1520х2010 (трещина)</t>
  </si>
  <si>
    <t>1500х3550 (трещина)</t>
  </si>
  <si>
    <t>500х690/1195</t>
  </si>
  <si>
    <t>490х1600</t>
  </si>
  <si>
    <t>570х1600</t>
  </si>
  <si>
    <t>1240х1440</t>
  </si>
  <si>
    <t>1080х1540</t>
  </si>
  <si>
    <t>1250х5000</t>
  </si>
  <si>
    <t>120(110)</t>
  </si>
  <si>
    <t>790х2450</t>
  </si>
  <si>
    <t>320х345</t>
  </si>
  <si>
    <t>390х1020</t>
  </si>
  <si>
    <t>760х1620</t>
  </si>
  <si>
    <t>170х390</t>
  </si>
  <si>
    <t>390х1370</t>
  </si>
  <si>
    <t>1050х1880</t>
  </si>
  <si>
    <t>100(170)</t>
  </si>
  <si>
    <t>670х750</t>
  </si>
  <si>
    <t>780х2500</t>
  </si>
  <si>
    <t>1070х1510</t>
  </si>
  <si>
    <t>209х890</t>
  </si>
  <si>
    <t>820х1200</t>
  </si>
  <si>
    <t>470х1500</t>
  </si>
  <si>
    <t>240х845</t>
  </si>
  <si>
    <t>480х1210</t>
  </si>
  <si>
    <t>710х930</t>
  </si>
  <si>
    <t>230+330</t>
  </si>
  <si>
    <t>300х650/1050</t>
  </si>
  <si>
    <t>300х650/1000</t>
  </si>
  <si>
    <t>1600х4480/1500х4650</t>
  </si>
  <si>
    <t>480х1500</t>
  </si>
  <si>
    <t>490х1580</t>
  </si>
  <si>
    <t>1500х1850</t>
  </si>
  <si>
    <t>2000х5700</t>
  </si>
  <si>
    <t xml:space="preserve"> 1500х3010</t>
  </si>
  <si>
    <t>2000х5580</t>
  </si>
  <si>
    <t>2000х3980</t>
  </si>
  <si>
    <t>1440х2380</t>
  </si>
  <si>
    <t>1600х5900</t>
  </si>
  <si>
    <t>1550х5850/2480</t>
  </si>
  <si>
    <t>1500х5950</t>
  </si>
  <si>
    <t>1500х3800</t>
  </si>
  <si>
    <t>1600х2150</t>
  </si>
  <si>
    <t>730х1080</t>
  </si>
  <si>
    <t>290х1120</t>
  </si>
  <si>
    <t>270х1120/260х1120</t>
  </si>
  <si>
    <t>360х410</t>
  </si>
  <si>
    <t>710х2850/190х650</t>
  </si>
  <si>
    <t>600х1680</t>
  </si>
  <si>
    <t>145х305</t>
  </si>
  <si>
    <t>1180х2940</t>
  </si>
  <si>
    <t>1070х2630/3130</t>
  </si>
  <si>
    <t>2000х5130</t>
  </si>
  <si>
    <t>1200х3000</t>
  </si>
  <si>
    <t>490х3250</t>
  </si>
  <si>
    <t>209х1065</t>
  </si>
  <si>
    <t>610х2070</t>
  </si>
  <si>
    <t>600х2060/610х1420</t>
  </si>
  <si>
    <t>830х3980</t>
  </si>
  <si>
    <t>980х3300</t>
  </si>
  <si>
    <t>1005х4250</t>
  </si>
  <si>
    <t>308х475</t>
  </si>
  <si>
    <t>150х410</t>
  </si>
  <si>
    <t>100(150овал)</t>
  </si>
  <si>
    <t>150х1570</t>
  </si>
  <si>
    <t xml:space="preserve"> 1100х3350</t>
  </si>
  <si>
    <t>105 мех. обр.</t>
  </si>
  <si>
    <t>185х240</t>
  </si>
  <si>
    <t>180х490</t>
  </si>
  <si>
    <t>600х2070</t>
  </si>
  <si>
    <t>780х2520</t>
  </si>
  <si>
    <t>700х5050</t>
  </si>
  <si>
    <t>355х1090</t>
  </si>
  <si>
    <t>490х515</t>
  </si>
  <si>
    <t>155х500</t>
  </si>
  <si>
    <t>480х470</t>
  </si>
  <si>
    <t>1500х6000/1550х2930</t>
  </si>
  <si>
    <t>560х1000</t>
  </si>
  <si>
    <t>850х2250/340х830</t>
  </si>
  <si>
    <t>860х2240(4шт)</t>
  </si>
  <si>
    <t>1240х2600</t>
  </si>
  <si>
    <t>120(140)</t>
  </si>
  <si>
    <t>430(440)х1090(1150)</t>
  </si>
  <si>
    <t>190х360</t>
  </si>
  <si>
    <t>220х2950</t>
  </si>
  <si>
    <t>850х1210</t>
  </si>
  <si>
    <t>1150х5000/6000</t>
  </si>
  <si>
    <t>130(135)</t>
  </si>
  <si>
    <t>1230х4000</t>
  </si>
  <si>
    <t>800х860</t>
  </si>
  <si>
    <t>800х530/820х2400</t>
  </si>
  <si>
    <t>230х530</t>
  </si>
  <si>
    <t>510х1500</t>
  </si>
  <si>
    <t>140(130)</t>
  </si>
  <si>
    <t>1100х2480</t>
  </si>
  <si>
    <t>180х480</t>
  </si>
  <si>
    <t>140(150)</t>
  </si>
  <si>
    <t>940х1550</t>
  </si>
  <si>
    <t>1030х2500</t>
  </si>
  <si>
    <t>1100х3300</t>
  </si>
  <si>
    <t>1200х3200</t>
  </si>
  <si>
    <t xml:space="preserve"> 1550х2210</t>
  </si>
  <si>
    <t>950х3350</t>
  </si>
  <si>
    <t>1180х1500</t>
  </si>
  <si>
    <t>200х1700</t>
  </si>
  <si>
    <t>805х2240</t>
  </si>
  <si>
    <t>650х1000</t>
  </si>
  <si>
    <t xml:space="preserve"> 1450х2650</t>
  </si>
  <si>
    <t>1090х4600</t>
  </si>
  <si>
    <t>950х2840</t>
  </si>
  <si>
    <t>1500х2600</t>
  </si>
  <si>
    <t>1300х1430</t>
  </si>
  <si>
    <t>580х1000</t>
  </si>
  <si>
    <t>490х1230</t>
  </si>
  <si>
    <t>170(190)</t>
  </si>
  <si>
    <t>180х1150/950х1630</t>
  </si>
  <si>
    <t>500х2750</t>
  </si>
  <si>
    <t>400х500</t>
  </si>
  <si>
    <t>480х1300</t>
  </si>
  <si>
    <t>490х500</t>
  </si>
  <si>
    <t>190(200)</t>
  </si>
  <si>
    <t>450х890</t>
  </si>
  <si>
    <t>420х700</t>
  </si>
  <si>
    <t>300х1460</t>
  </si>
  <si>
    <t>490х1550</t>
  </si>
  <si>
    <t>1060х4200</t>
  </si>
  <si>
    <t>1160х3000</t>
  </si>
  <si>
    <t>05кп</t>
  </si>
  <si>
    <t>540х810</t>
  </si>
  <si>
    <t>900х4000</t>
  </si>
  <si>
    <t>06Х12Н3Д</t>
  </si>
  <si>
    <t>Лист нерж</t>
  </si>
  <si>
    <t>630х2000</t>
  </si>
  <si>
    <t>08пс</t>
  </si>
  <si>
    <t>Лист</t>
  </si>
  <si>
    <t>52(50)</t>
  </si>
  <si>
    <t>1280х6500</t>
  </si>
  <si>
    <t>180(200)х1050</t>
  </si>
  <si>
    <t>460х780</t>
  </si>
  <si>
    <t>1280х2370</t>
  </si>
  <si>
    <t>08Х22Н6Т</t>
  </si>
  <si>
    <t>1600х4520</t>
  </si>
  <si>
    <t>1450х1550</t>
  </si>
  <si>
    <t>09г2с+10Х17Н13М2Т</t>
  </si>
  <si>
    <t>Лист биметалл</t>
  </si>
  <si>
    <t>1520х6420/6520</t>
  </si>
  <si>
    <t>09Г2С+12Х18Н10Т</t>
  </si>
  <si>
    <t>2500х2990</t>
  </si>
  <si>
    <t>1600х285</t>
  </si>
  <si>
    <t>09Г2С-14</t>
  </si>
  <si>
    <t>310х970</t>
  </si>
  <si>
    <t>2050х6000</t>
  </si>
  <si>
    <t>10кп</t>
  </si>
  <si>
    <t>1130х2080</t>
  </si>
  <si>
    <t>880х3460</t>
  </si>
  <si>
    <t>1030х4200</t>
  </si>
  <si>
    <t>10пс</t>
  </si>
  <si>
    <t>1270х1030</t>
  </si>
  <si>
    <t>1280х2640</t>
  </si>
  <si>
    <t>2100х6000</t>
  </si>
  <si>
    <t>2000х3380</t>
  </si>
  <si>
    <t>910х7000/980х4180</t>
  </si>
  <si>
    <t>117х410</t>
  </si>
  <si>
    <t>910х2020</t>
  </si>
  <si>
    <t>150х1050</t>
  </si>
  <si>
    <t>1550х5500</t>
  </si>
  <si>
    <t>1500х5000</t>
  </si>
  <si>
    <t>12МХ</t>
  </si>
  <si>
    <t>1500х6000/5700</t>
  </si>
  <si>
    <t>1050х5500</t>
  </si>
  <si>
    <t>1030х4050/3000</t>
  </si>
  <si>
    <t>18?</t>
  </si>
  <si>
    <t>1500х1270</t>
  </si>
  <si>
    <t>1400х2550</t>
  </si>
  <si>
    <t>12ХН2М</t>
  </si>
  <si>
    <t>1550х3,55</t>
  </si>
  <si>
    <t>530х1160</t>
  </si>
  <si>
    <t>440х1080</t>
  </si>
  <si>
    <t>390х1090/410х1090</t>
  </si>
  <si>
    <t>1550х2910</t>
  </si>
  <si>
    <t>1450-2200х3060-5500</t>
  </si>
  <si>
    <t>20+10Х17Н13М2Т</t>
  </si>
  <si>
    <t>1520х7150</t>
  </si>
  <si>
    <t>1520х6400</t>
  </si>
  <si>
    <t>20Х2МА</t>
  </si>
  <si>
    <t>2050х5200-8000</t>
  </si>
  <si>
    <t>50(52)</t>
  </si>
  <si>
    <t>1000х6140</t>
  </si>
  <si>
    <t>240х1270</t>
  </si>
  <si>
    <t>30Х2М</t>
  </si>
  <si>
    <t>1600х5000</t>
  </si>
  <si>
    <t>1700х4800</t>
  </si>
  <si>
    <t>1650х2150</t>
  </si>
  <si>
    <t>30Х2Н2М</t>
  </si>
  <si>
    <t>730х1940</t>
  </si>
  <si>
    <t>30Х2Н2М1Ф</t>
  </si>
  <si>
    <t>850х2350</t>
  </si>
  <si>
    <t>30Х3НМ3Ф</t>
  </si>
  <si>
    <t>400х1180</t>
  </si>
  <si>
    <t>1370х2700(11)волной</t>
  </si>
  <si>
    <t>30ХН2МА</t>
  </si>
  <si>
    <t>830х970</t>
  </si>
  <si>
    <t>35(40)</t>
  </si>
  <si>
    <t>1300х1540</t>
  </si>
  <si>
    <t>1300х1700</t>
  </si>
  <si>
    <t>2270х5700/5850</t>
  </si>
  <si>
    <t>90(88обработанные)</t>
  </si>
  <si>
    <t>730х3310/3410</t>
  </si>
  <si>
    <t>1250х1800/2100</t>
  </si>
  <si>
    <t>720х2260</t>
  </si>
  <si>
    <t>3сп</t>
  </si>
  <si>
    <t>560х2620</t>
  </si>
  <si>
    <t>1550х4000</t>
  </si>
  <si>
    <t>3Х2МНФ</t>
  </si>
  <si>
    <t>330х1300</t>
  </si>
  <si>
    <t>40-45</t>
  </si>
  <si>
    <t>340х360</t>
  </si>
  <si>
    <t xml:space="preserve">1500х6000 </t>
  </si>
  <si>
    <t>2000х6050/1180х1750</t>
  </si>
  <si>
    <t>195х580</t>
  </si>
  <si>
    <t>2000х3050</t>
  </si>
  <si>
    <t>1690х2730</t>
  </si>
  <si>
    <t>1500х3630</t>
  </si>
  <si>
    <t>1600х5550/5040</t>
  </si>
  <si>
    <t>1600х2200</t>
  </si>
  <si>
    <t>1500х700</t>
  </si>
  <si>
    <t>150х790</t>
  </si>
  <si>
    <t>200х310</t>
  </si>
  <si>
    <t>1600х3920</t>
  </si>
  <si>
    <t>100(120)</t>
  </si>
  <si>
    <t>300х335</t>
  </si>
  <si>
    <t>700х2770</t>
  </si>
  <si>
    <t>110(125)</t>
  </si>
  <si>
    <t>310х1860</t>
  </si>
  <si>
    <t>2000х5050</t>
  </si>
  <si>
    <t>1600х3140</t>
  </si>
  <si>
    <t>1500х3100</t>
  </si>
  <si>
    <t>140х690/150х490/160х490/125х510</t>
  </si>
  <si>
    <t>1600х1800</t>
  </si>
  <si>
    <t>2000х3500</t>
  </si>
  <si>
    <t>160(220)</t>
  </si>
  <si>
    <t>300х325</t>
  </si>
  <si>
    <t>200х520</t>
  </si>
  <si>
    <t>100-120</t>
  </si>
  <si>
    <t>300х350</t>
  </si>
  <si>
    <t>330х665</t>
  </si>
  <si>
    <t>40ХН (50ХН)</t>
  </si>
  <si>
    <t>740х1950</t>
  </si>
  <si>
    <t>730х2000</t>
  </si>
  <si>
    <t>1050х1250</t>
  </si>
  <si>
    <t>710х1300/1510</t>
  </si>
  <si>
    <t>1600х2550</t>
  </si>
  <si>
    <t>1500х1980</t>
  </si>
  <si>
    <t>470х1380</t>
  </si>
  <si>
    <t>300х4150</t>
  </si>
  <si>
    <t>АМГ6М</t>
  </si>
  <si>
    <t>Лист алюм</t>
  </si>
  <si>
    <t>1200х4000</t>
  </si>
  <si>
    <t>биметалл</t>
  </si>
  <si>
    <t>1600х6300</t>
  </si>
  <si>
    <t>1600х2850</t>
  </si>
  <si>
    <t>1500х1800/2000</t>
  </si>
  <si>
    <t>ВТ1-0</t>
  </si>
  <si>
    <t>1010х2010</t>
  </si>
  <si>
    <t>РСВ</t>
  </si>
  <si>
    <t>980х3250</t>
  </si>
  <si>
    <t>410х1700</t>
  </si>
  <si>
    <t>90х1090 (трещина)</t>
  </si>
  <si>
    <t>1250</t>
  </si>
  <si>
    <t>615х780/1500х640 (волной)</t>
  </si>
  <si>
    <t>2140х5000</t>
  </si>
  <si>
    <t>250х570 (трещина)</t>
  </si>
  <si>
    <t>1050х2040/1050х1710</t>
  </si>
  <si>
    <t>1250х2940(трещина) 1040х1070(трещина)</t>
  </si>
  <si>
    <t>7,00-12,00</t>
  </si>
  <si>
    <t>К60-D (10Г2ФБЮ)</t>
  </si>
  <si>
    <t>К60 (10Г2ФБЮ)</t>
  </si>
  <si>
    <t>К52/1 (17Г1С)</t>
  </si>
  <si>
    <t>К54 (13Г2АФ)</t>
  </si>
  <si>
    <t>К56/2 (09Г2ФБ/13Г1С)</t>
  </si>
  <si>
    <t>К56 (09Г2ФБ/13Г1С)</t>
  </si>
  <si>
    <t>Лист г/к ков</t>
  </si>
  <si>
    <t>Рулон нерж.</t>
  </si>
  <si>
    <t>30ХГСА (хранение)</t>
  </si>
  <si>
    <t>15Н3А Вд</t>
  </si>
  <si>
    <t>18(17,6к)</t>
  </si>
  <si>
    <t>19к</t>
  </si>
  <si>
    <t>ХВГ</t>
  </si>
  <si>
    <t>20рж</t>
  </si>
  <si>
    <t>АС35Г2</t>
  </si>
  <si>
    <t>22рж</t>
  </si>
  <si>
    <t>10 (А12)</t>
  </si>
  <si>
    <t>20ХН3А</t>
  </si>
  <si>
    <t>0,88-0,015</t>
  </si>
  <si>
    <t>28рыж</t>
  </si>
  <si>
    <t>АС 14</t>
  </si>
  <si>
    <t>30рж</t>
  </si>
  <si>
    <t>20ХМ</t>
  </si>
  <si>
    <t>60С2ХА?</t>
  </si>
  <si>
    <t>32рж</t>
  </si>
  <si>
    <t>30-35</t>
  </si>
  <si>
    <t>34рж</t>
  </si>
  <si>
    <t>45Х</t>
  </si>
  <si>
    <t>19ХГН</t>
  </si>
  <si>
    <t>60С2А(угл.1,5)</t>
  </si>
  <si>
    <t>20ХН2МА</t>
  </si>
  <si>
    <t>13Н5А Вд</t>
  </si>
  <si>
    <t>40рж</t>
  </si>
  <si>
    <t>30ХН3А</t>
  </si>
  <si>
    <t>ЭП428(20Х12ВНМФ)</t>
  </si>
  <si>
    <t>4Х5В2ФС(ЭИ958)</t>
  </si>
  <si>
    <t>45рж</t>
  </si>
  <si>
    <t>3Х3М3Ф</t>
  </si>
  <si>
    <t>12ХН2</t>
  </si>
  <si>
    <t>50рыж</t>
  </si>
  <si>
    <t>37ХН3А</t>
  </si>
  <si>
    <t>ЭИ958(4Х5В2ФС)</t>
  </si>
  <si>
    <t>3кп</t>
  </si>
  <si>
    <t>55С2А</t>
  </si>
  <si>
    <t>56 гнутый</t>
  </si>
  <si>
    <t>20ХГСН</t>
  </si>
  <si>
    <t>9ХС (ХВГзамена)</t>
  </si>
  <si>
    <t>14ХГС</t>
  </si>
  <si>
    <t>12Х2Н4ВА</t>
  </si>
  <si>
    <t>38ХН3ВА</t>
  </si>
  <si>
    <t>ЭИ95(25Х18Н9С2)</t>
  </si>
  <si>
    <t>20ХН</t>
  </si>
  <si>
    <t>ШХ-15</t>
  </si>
  <si>
    <t>18ХНВА</t>
  </si>
  <si>
    <t>13Х3НВМ2Ф</t>
  </si>
  <si>
    <t>ШХ-15СГ</t>
  </si>
  <si>
    <t>80ржав</t>
  </si>
  <si>
    <t>60-65</t>
  </si>
  <si>
    <t>40ХВ</t>
  </si>
  <si>
    <t>20ХН3Аш</t>
  </si>
  <si>
    <t>20Х2Н4Аш</t>
  </si>
  <si>
    <t>35Х3НМ(40хн2ма)</t>
  </si>
  <si>
    <t>4Х4ВМФС(ДИ22)</t>
  </si>
  <si>
    <t>3пс(5пс) ст 35</t>
  </si>
  <si>
    <t>30ХГТ</t>
  </si>
  <si>
    <t>30Х2Н2ВФА</t>
  </si>
  <si>
    <t>5сп (35)</t>
  </si>
  <si>
    <t>36Г2С</t>
  </si>
  <si>
    <t>60-65Г</t>
  </si>
  <si>
    <t>У10</t>
  </si>
  <si>
    <t>12х2н4а</t>
  </si>
  <si>
    <t>95ржав</t>
  </si>
  <si>
    <t>9Х</t>
  </si>
  <si>
    <t>40ХН (35ХН2Ф)</t>
  </si>
  <si>
    <t>20ХГСНМ</t>
  </si>
  <si>
    <t>38ХВ</t>
  </si>
  <si>
    <t>15ХГН2ТА(20ХН3А)</t>
  </si>
  <si>
    <t>12ХН3Асш</t>
  </si>
  <si>
    <t>20Х2НВФА</t>
  </si>
  <si>
    <t>ЭИ268(14Х17Н2)</t>
  </si>
  <si>
    <t>100рж</t>
  </si>
  <si>
    <t>35Х?</t>
  </si>
  <si>
    <t>45(40)</t>
  </si>
  <si>
    <t>38ХН1М(ОХН1М)</t>
  </si>
  <si>
    <t>30Х3НМ3Д</t>
  </si>
  <si>
    <t>35Х3Н1М</t>
  </si>
  <si>
    <t>35ХН1М2ФА</t>
  </si>
  <si>
    <t>130+180</t>
  </si>
  <si>
    <t>4Х2НМФ</t>
  </si>
  <si>
    <t>12Х2Н4Аш</t>
  </si>
  <si>
    <t>12Х2Н4А-ВД</t>
  </si>
  <si>
    <t>30ХГСН2АВД</t>
  </si>
  <si>
    <t>25Х1М1Ф</t>
  </si>
  <si>
    <t>147обт.</t>
  </si>
  <si>
    <t>150+130</t>
  </si>
  <si>
    <t>30Г</t>
  </si>
  <si>
    <t>45ХН</t>
  </si>
  <si>
    <t>У10Асш</t>
  </si>
  <si>
    <t>СП28ВД</t>
  </si>
  <si>
    <t>03Х16Н15М3бр</t>
  </si>
  <si>
    <t>5пс</t>
  </si>
  <si>
    <t>40Х2Н2ВА</t>
  </si>
  <si>
    <t>180+380</t>
  </si>
  <si>
    <t>ШХ20СГ</t>
  </si>
  <si>
    <t>18ХГ</t>
  </si>
  <si>
    <t>07Х16Н6</t>
  </si>
  <si>
    <t>180-170</t>
  </si>
  <si>
    <t>38ХМ</t>
  </si>
  <si>
    <t>186+200+175</t>
  </si>
  <si>
    <t>190+380</t>
  </si>
  <si>
    <t>190+260+230</t>
  </si>
  <si>
    <t>190+270</t>
  </si>
  <si>
    <t>35ХГСА</t>
  </si>
  <si>
    <t>4Х2НФ</t>
  </si>
  <si>
    <t>12Х1М1Ф</t>
  </si>
  <si>
    <t>400/100+190/100</t>
  </si>
  <si>
    <t>200обт.</t>
  </si>
  <si>
    <t>200+225+240+260+285+305+330</t>
  </si>
  <si>
    <t>200+270+240+200</t>
  </si>
  <si>
    <t>200+310</t>
  </si>
  <si>
    <t>28Х3СНМВФА</t>
  </si>
  <si>
    <t>34Х2МФР1Т</t>
  </si>
  <si>
    <t>205+225+260+285+305+325+365+375обт.</t>
  </si>
  <si>
    <t>210+310</t>
  </si>
  <si>
    <t>210+320</t>
  </si>
  <si>
    <t>220+310</t>
  </si>
  <si>
    <t>220-340+450+360</t>
  </si>
  <si>
    <t>220+235+255</t>
  </si>
  <si>
    <t>220-260/50(конус)</t>
  </si>
  <si>
    <t>220-350/50</t>
  </si>
  <si>
    <t>500+225</t>
  </si>
  <si>
    <t>230-360+410+350</t>
  </si>
  <si>
    <t>230+400</t>
  </si>
  <si>
    <t>230+260</t>
  </si>
  <si>
    <t>235/70+235+315</t>
  </si>
  <si>
    <t>240+290-370+510+360</t>
  </si>
  <si>
    <t>240+310-370+520+360</t>
  </si>
  <si>
    <t>240/100</t>
  </si>
  <si>
    <t>250+370</t>
  </si>
  <si>
    <t>250+300-350</t>
  </si>
  <si>
    <t>250+300-360</t>
  </si>
  <si>
    <t>250-360+460+330-400</t>
  </si>
  <si>
    <t>34ХН1МА</t>
  </si>
  <si>
    <t>38хн3мфа</t>
  </si>
  <si>
    <t>260/70</t>
  </si>
  <si>
    <t>35-40</t>
  </si>
  <si>
    <t>260+360</t>
  </si>
  <si>
    <t>300+260</t>
  </si>
  <si>
    <t>260+480+430+500</t>
  </si>
  <si>
    <t>260+380</t>
  </si>
  <si>
    <t>260(200)</t>
  </si>
  <si>
    <t>40ХФА</t>
  </si>
  <si>
    <t>270-320</t>
  </si>
  <si>
    <t>270/70</t>
  </si>
  <si>
    <t>270/95</t>
  </si>
  <si>
    <t>270/110</t>
  </si>
  <si>
    <t>270+350</t>
  </si>
  <si>
    <t>35ХМ</t>
  </si>
  <si>
    <t>15Х1МФ</t>
  </si>
  <si>
    <t>380/110+275</t>
  </si>
  <si>
    <t>280п</t>
  </si>
  <si>
    <t>280+390+290</t>
  </si>
  <si>
    <t>280/80</t>
  </si>
  <si>
    <t>ХН35ВТ</t>
  </si>
  <si>
    <t>290-410+380</t>
  </si>
  <si>
    <t>290+440+360</t>
  </si>
  <si>
    <t>290+300</t>
  </si>
  <si>
    <t>290(270)</t>
  </si>
  <si>
    <t>290/120</t>
  </si>
  <si>
    <t>290+370+280+360+310</t>
  </si>
  <si>
    <t>290/50</t>
  </si>
  <si>
    <t>290-310/50</t>
  </si>
  <si>
    <t>300+300/70</t>
  </si>
  <si>
    <t>300-220</t>
  </si>
  <si>
    <t>300-270</t>
  </si>
  <si>
    <t>300/85</t>
  </si>
  <si>
    <t>300+250</t>
  </si>
  <si>
    <t>300+290</t>
  </si>
  <si>
    <t>300+380+300</t>
  </si>
  <si>
    <t>300(центр 40)</t>
  </si>
  <si>
    <t>340+300</t>
  </si>
  <si>
    <t>34ХН3МА</t>
  </si>
  <si>
    <t>300+340</t>
  </si>
  <si>
    <t>306+285 обт</t>
  </si>
  <si>
    <t>310+300</t>
  </si>
  <si>
    <t>310/85</t>
  </si>
  <si>
    <t>310/140</t>
  </si>
  <si>
    <t>310+340</t>
  </si>
  <si>
    <t>310+200</t>
  </si>
  <si>
    <t>40х</t>
  </si>
  <si>
    <t>317+219+205</t>
  </si>
  <si>
    <t>317обт</t>
  </si>
  <si>
    <t>320+380</t>
  </si>
  <si>
    <t>45(50)</t>
  </si>
  <si>
    <t>320+390+340+310+300+270+235+240+230+210 обт</t>
  </si>
  <si>
    <t>320обт.</t>
  </si>
  <si>
    <t>320обт</t>
  </si>
  <si>
    <t>320(310)</t>
  </si>
  <si>
    <t>50хн</t>
  </si>
  <si>
    <t>390+390+320</t>
  </si>
  <si>
    <t>320+500</t>
  </si>
  <si>
    <t>320+210</t>
  </si>
  <si>
    <t>320+290+260 обт</t>
  </si>
  <si>
    <t>40ХМФА</t>
  </si>
  <si>
    <t>325+470+325+307обт.</t>
  </si>
  <si>
    <t>35(30)</t>
  </si>
  <si>
    <t>323+312обт.</t>
  </si>
  <si>
    <t>333обт.</t>
  </si>
  <si>
    <t>330+420+460+550+450+420</t>
  </si>
  <si>
    <t>330+400+450+540+450+410</t>
  </si>
  <si>
    <t>330+500+300</t>
  </si>
  <si>
    <t>330/75</t>
  </si>
  <si>
    <t>330/40(не проточ.)</t>
  </si>
  <si>
    <t>15Х1Мф</t>
  </si>
  <si>
    <t>330/180</t>
  </si>
  <si>
    <t>~ 1,7</t>
  </si>
  <si>
    <t>335+350+402+348+328+300+270+240+228+212обт.</t>
  </si>
  <si>
    <t>337+300+300/80обт</t>
  </si>
  <si>
    <t>340+320</t>
  </si>
  <si>
    <t>340+405+320+303+290+260+222+210обт.</t>
  </si>
  <si>
    <t>340+420+470+550+460+410</t>
  </si>
  <si>
    <t>340(350)</t>
  </si>
  <si>
    <t>340/60</t>
  </si>
  <si>
    <t>340+390+340обт.</t>
  </si>
  <si>
    <t>340+500</t>
  </si>
  <si>
    <t>50ХН(60ХН)</t>
  </si>
  <si>
    <t>34ХН3М</t>
  </si>
  <si>
    <t>16ХН3МА</t>
  </si>
  <si>
    <t>340+310</t>
  </si>
  <si>
    <t>9х2мф</t>
  </si>
  <si>
    <t>340+320+405+498</t>
  </si>
  <si>
    <t>340/150</t>
  </si>
  <si>
    <t>340/190</t>
  </si>
  <si>
    <t>Вл1Вд</t>
  </si>
  <si>
    <t>38ХГМ</t>
  </si>
  <si>
    <t>344обт</t>
  </si>
  <si>
    <t>345+320+305+285+250+235</t>
  </si>
  <si>
    <t>350промерить</t>
  </si>
  <si>
    <t>350-300+250</t>
  </si>
  <si>
    <t>350+455+315+289</t>
  </si>
  <si>
    <t>350+450+640+480+340</t>
  </si>
  <si>
    <t>350+270+420</t>
  </si>
  <si>
    <t>350+270</t>
  </si>
  <si>
    <t>350/150</t>
  </si>
  <si>
    <t>350/190</t>
  </si>
  <si>
    <t>12Х2НВФА(ЭИ712)</t>
  </si>
  <si>
    <t>350/90</t>
  </si>
  <si>
    <t>35ХМ (09Г2С)</t>
  </si>
  <si>
    <t>360+455+350</t>
  </si>
  <si>
    <t>360+510+370</t>
  </si>
  <si>
    <t>360обт.</t>
  </si>
  <si>
    <t>360(370)</t>
  </si>
  <si>
    <t>4Х4МФ</t>
  </si>
  <si>
    <t>360/140</t>
  </si>
  <si>
    <t xml:space="preserve">364обт. </t>
  </si>
  <si>
    <t>368обт</t>
  </si>
  <si>
    <t>370обт.</t>
  </si>
  <si>
    <t>370+480</t>
  </si>
  <si>
    <t>370/60</t>
  </si>
  <si>
    <t>370/110+385/110+340/85</t>
  </si>
  <si>
    <t>370(350)</t>
  </si>
  <si>
    <t>370/250</t>
  </si>
  <si>
    <t>370+270</t>
  </si>
  <si>
    <t>38хн1м(40ХН1М)</t>
  </si>
  <si>
    <t>370+600+370</t>
  </si>
  <si>
    <t>370/140</t>
  </si>
  <si>
    <t>375+350</t>
  </si>
  <si>
    <t>378/50 обт</t>
  </si>
  <si>
    <t>380+190</t>
  </si>
  <si>
    <t>380(400)</t>
  </si>
  <si>
    <t>378/70</t>
  </si>
  <si>
    <t>380+410-290</t>
  </si>
  <si>
    <t>380/70</t>
  </si>
  <si>
    <t>380/120</t>
  </si>
  <si>
    <t>380(390)</t>
  </si>
  <si>
    <t>38Х2Н1М (38Х2Н2МА)</t>
  </si>
  <si>
    <t>380обт</t>
  </si>
  <si>
    <t>380/150</t>
  </si>
  <si>
    <t>380/170</t>
  </si>
  <si>
    <t>380/190</t>
  </si>
  <si>
    <t>600/120+380/120гр</t>
  </si>
  <si>
    <t>380/110</t>
  </si>
  <si>
    <t>385+350обт.</t>
  </si>
  <si>
    <t>385+350</t>
  </si>
  <si>
    <t>390/100</t>
  </si>
  <si>
    <t>390+340+280</t>
  </si>
  <si>
    <t>393/90+380/90-115</t>
  </si>
  <si>
    <t>390 обт.</t>
  </si>
  <si>
    <t>9Х2</t>
  </si>
  <si>
    <t>390/150</t>
  </si>
  <si>
    <t>395+395/110обт.</t>
  </si>
  <si>
    <t>395+395/140обт.</t>
  </si>
  <si>
    <t>396+405обт.</t>
  </si>
  <si>
    <t>400+210</t>
  </si>
  <si>
    <t>возврат 40хн</t>
  </si>
  <si>
    <t>400обт</t>
  </si>
  <si>
    <t>400/120</t>
  </si>
  <si>
    <t>405обт.</t>
  </si>
  <si>
    <t xml:space="preserve">404обт. </t>
  </si>
  <si>
    <t>405/100обт.</t>
  </si>
  <si>
    <t>405обт+396обт</t>
  </si>
  <si>
    <t>405+365</t>
  </si>
  <si>
    <t>410обт.</t>
  </si>
  <si>
    <t>410обт</t>
  </si>
  <si>
    <t>410+270</t>
  </si>
  <si>
    <t>410+540+420</t>
  </si>
  <si>
    <t>АС11</t>
  </si>
  <si>
    <t>410(440)</t>
  </si>
  <si>
    <t>415/50</t>
  </si>
  <si>
    <t>419/90обт</t>
  </si>
  <si>
    <t>65(70)</t>
  </si>
  <si>
    <t>420/40</t>
  </si>
  <si>
    <t>420обт.</t>
  </si>
  <si>
    <t>420+270+350</t>
  </si>
  <si>
    <t>420+460+410</t>
  </si>
  <si>
    <t>420/60</t>
  </si>
  <si>
    <t>420+470</t>
  </si>
  <si>
    <t xml:space="preserve">420(430) </t>
  </si>
  <si>
    <t>430/70</t>
  </si>
  <si>
    <t>430(431)обт</t>
  </si>
  <si>
    <t>430обт</t>
  </si>
  <si>
    <t>430+410</t>
  </si>
  <si>
    <t>430обт.</t>
  </si>
  <si>
    <t>430/80</t>
  </si>
  <si>
    <t>45Х5МФ</t>
  </si>
  <si>
    <t>435обт</t>
  </si>
  <si>
    <t>65Г(50Г)</t>
  </si>
  <si>
    <t>Чугун Сч 35</t>
  </si>
  <si>
    <t>440+750+440</t>
  </si>
  <si>
    <t>440обт+455обт</t>
  </si>
  <si>
    <t>440/120</t>
  </si>
  <si>
    <t>20г</t>
  </si>
  <si>
    <t>20х</t>
  </si>
  <si>
    <t>440(460)</t>
  </si>
  <si>
    <t>440обт.</t>
  </si>
  <si>
    <t>90Х1Ф</t>
  </si>
  <si>
    <t>447обт</t>
  </si>
  <si>
    <t>450(400)</t>
  </si>
  <si>
    <t>450+470обт</t>
  </si>
  <si>
    <t>450обт</t>
  </si>
  <si>
    <t>450+200</t>
  </si>
  <si>
    <t>450/120+430/120обт.</t>
  </si>
  <si>
    <t>450/130</t>
  </si>
  <si>
    <t>450(430)</t>
  </si>
  <si>
    <t>450(440)</t>
  </si>
  <si>
    <t>450(420)</t>
  </si>
  <si>
    <t>25х1м1ф</t>
  </si>
  <si>
    <t>450+520</t>
  </si>
  <si>
    <t>450+530</t>
  </si>
  <si>
    <t>455+430+440обт</t>
  </si>
  <si>
    <t>455обт</t>
  </si>
  <si>
    <t>460обт</t>
  </si>
  <si>
    <t>460(450)/110</t>
  </si>
  <si>
    <t>460/110</t>
  </si>
  <si>
    <t>20(20юч)</t>
  </si>
  <si>
    <t>460/295</t>
  </si>
  <si>
    <t>460(450)обт</t>
  </si>
  <si>
    <t>460+400</t>
  </si>
  <si>
    <t>460/140</t>
  </si>
  <si>
    <t>460/340</t>
  </si>
  <si>
    <t>12Х2Н4ВФА(эи712)</t>
  </si>
  <si>
    <t>30Х2Н2МФА</t>
  </si>
  <si>
    <t>460+750</t>
  </si>
  <si>
    <t>460+760</t>
  </si>
  <si>
    <t>460+850</t>
  </si>
  <si>
    <t>460/305</t>
  </si>
  <si>
    <t>460/150</t>
  </si>
  <si>
    <t>460/240</t>
  </si>
  <si>
    <t>464обт.</t>
  </si>
  <si>
    <t>465обт</t>
  </si>
  <si>
    <t>465/300</t>
  </si>
  <si>
    <t>470(480)</t>
  </si>
  <si>
    <t>470/60</t>
  </si>
  <si>
    <t>470/250</t>
  </si>
  <si>
    <t>470+420</t>
  </si>
  <si>
    <t>470/100</t>
  </si>
  <si>
    <t>12Х1МФШ</t>
  </si>
  <si>
    <t>475(450)</t>
  </si>
  <si>
    <t>478 обт</t>
  </si>
  <si>
    <t>480+460</t>
  </si>
  <si>
    <t>480+320</t>
  </si>
  <si>
    <t>480+390+320</t>
  </si>
  <si>
    <t>480(460)</t>
  </si>
  <si>
    <t>480+424обт</t>
  </si>
  <si>
    <t>480/240</t>
  </si>
  <si>
    <t>485+540+515+515/100</t>
  </si>
  <si>
    <t>490/90</t>
  </si>
  <si>
    <t>490пкз</t>
  </si>
  <si>
    <t>490+415обт</t>
  </si>
  <si>
    <t>500(490)</t>
  </si>
  <si>
    <t>500/50</t>
  </si>
  <si>
    <t>500обт.</t>
  </si>
  <si>
    <t>330+500+330</t>
  </si>
  <si>
    <t>500/60</t>
  </si>
  <si>
    <t>500/80</t>
  </si>
  <si>
    <t>500+440</t>
  </si>
  <si>
    <t>500(470)</t>
  </si>
  <si>
    <t>500+310</t>
  </si>
  <si>
    <t>500+320</t>
  </si>
  <si>
    <t>500(480)</t>
  </si>
  <si>
    <t>20Х12ВНМФ</t>
  </si>
  <si>
    <t xml:space="preserve">500/100 </t>
  </si>
  <si>
    <t>34хн1м</t>
  </si>
  <si>
    <t>505+490</t>
  </si>
  <si>
    <t>510/200</t>
  </si>
  <si>
    <t>510/100+519/100обт</t>
  </si>
  <si>
    <t>510+300/70</t>
  </si>
  <si>
    <t>45?</t>
  </si>
  <si>
    <t>517обт.</t>
  </si>
  <si>
    <t>520/190</t>
  </si>
  <si>
    <t>520+450</t>
  </si>
  <si>
    <t>9Х2МФ(75ХМФА)</t>
  </si>
  <si>
    <t>525обт</t>
  </si>
  <si>
    <t>525+580+520обт</t>
  </si>
  <si>
    <t>35/40</t>
  </si>
  <si>
    <t>530/140</t>
  </si>
  <si>
    <t>530/310</t>
  </si>
  <si>
    <t>530/100+340/100</t>
  </si>
  <si>
    <t>530+450</t>
  </si>
  <si>
    <t>530/370</t>
  </si>
  <si>
    <t>535обт</t>
  </si>
  <si>
    <t>540(535)</t>
  </si>
  <si>
    <t>540обт</t>
  </si>
  <si>
    <t>540+470обт</t>
  </si>
  <si>
    <t>550?</t>
  </si>
  <si>
    <t>550 обт</t>
  </si>
  <si>
    <t>550обт</t>
  </si>
  <si>
    <t>550/100</t>
  </si>
  <si>
    <t>550(535)</t>
  </si>
  <si>
    <t>550(570)</t>
  </si>
  <si>
    <t>550/190</t>
  </si>
  <si>
    <t>38хгн</t>
  </si>
  <si>
    <t>550/130</t>
  </si>
  <si>
    <t>550/50</t>
  </si>
  <si>
    <t>550/120</t>
  </si>
  <si>
    <t>550+260</t>
  </si>
  <si>
    <t>553 обт</t>
  </si>
  <si>
    <t>555обт</t>
  </si>
  <si>
    <t>560(570)</t>
  </si>
  <si>
    <t>560(565)</t>
  </si>
  <si>
    <t>560обт</t>
  </si>
  <si>
    <t>560/180</t>
  </si>
  <si>
    <t>38Х2Н2МФА</t>
  </si>
  <si>
    <t>560/120+1210/120гр</t>
  </si>
  <si>
    <t>565/40обт</t>
  </si>
  <si>
    <t>570(550)</t>
  </si>
  <si>
    <t>570обт./100+600обт./100+600обт</t>
  </si>
  <si>
    <t>580/110</t>
  </si>
  <si>
    <t>580обт</t>
  </si>
  <si>
    <t>580/140</t>
  </si>
  <si>
    <t>580/190</t>
  </si>
  <si>
    <t>580/150</t>
  </si>
  <si>
    <t>580/100</t>
  </si>
  <si>
    <t>580/240</t>
  </si>
  <si>
    <t>585+552обт.</t>
  </si>
  <si>
    <t>590/125+450/125+430/125+410/125+380/125обт.</t>
  </si>
  <si>
    <t>590/260</t>
  </si>
  <si>
    <t>590/260+900/260</t>
  </si>
  <si>
    <t>590/130</t>
  </si>
  <si>
    <t>595/85</t>
  </si>
  <si>
    <t>600/220обт</t>
  </si>
  <si>
    <t>600+410</t>
  </si>
  <si>
    <t>600+400</t>
  </si>
  <si>
    <t>600(550)/100+700/100</t>
  </si>
  <si>
    <t>600+180</t>
  </si>
  <si>
    <t>600/90</t>
  </si>
  <si>
    <t>600/100</t>
  </si>
  <si>
    <t>600/100обт + 570/100обт</t>
  </si>
  <si>
    <t>600/110-120</t>
  </si>
  <si>
    <t>600/110</t>
  </si>
  <si>
    <t>600/120</t>
  </si>
  <si>
    <t>600обт.+600обт/100+570/100обт</t>
  </si>
  <si>
    <t>600/200</t>
  </si>
  <si>
    <t>600литье</t>
  </si>
  <si>
    <t>600/170</t>
  </si>
  <si>
    <t>600/180</t>
  </si>
  <si>
    <t>610/200</t>
  </si>
  <si>
    <t>610/210</t>
  </si>
  <si>
    <t>75ХМФА</t>
  </si>
  <si>
    <t>610(620)</t>
  </si>
  <si>
    <t>615 обт</t>
  </si>
  <si>
    <t>620+400</t>
  </si>
  <si>
    <t>620/200</t>
  </si>
  <si>
    <t>620(600)</t>
  </si>
  <si>
    <t>620+580</t>
  </si>
  <si>
    <t>620/220</t>
  </si>
  <si>
    <t>40ХН2МА(20ХН2МА)</t>
  </si>
  <si>
    <t>620/100</t>
  </si>
  <si>
    <t>620/120</t>
  </si>
  <si>
    <t>630(660)</t>
  </si>
  <si>
    <t>630/125+635/125+770/160(отверстие точить)+600/160обт.</t>
  </si>
  <si>
    <t>630/200</t>
  </si>
  <si>
    <t>9х1</t>
  </si>
  <si>
    <t>630/210</t>
  </si>
  <si>
    <t>630/120</t>
  </si>
  <si>
    <t xml:space="preserve">630/265(610обт.) </t>
  </si>
  <si>
    <t>630/130</t>
  </si>
  <si>
    <t>640/210</t>
  </si>
  <si>
    <t>640/240+540/210</t>
  </si>
  <si>
    <t>640/100</t>
  </si>
  <si>
    <t>640/350</t>
  </si>
  <si>
    <t>25ХГСНМ</t>
  </si>
  <si>
    <t>9Х5МФС</t>
  </si>
  <si>
    <t>640/85(600/85)</t>
  </si>
  <si>
    <t>644/290(600/290или 615/290х95)</t>
  </si>
  <si>
    <t>642обт.</t>
  </si>
  <si>
    <t>650/80</t>
  </si>
  <si>
    <t>650/110</t>
  </si>
  <si>
    <t>20Х2МА(20хн3а)</t>
  </si>
  <si>
    <t>650/300</t>
  </si>
  <si>
    <t>650/320</t>
  </si>
  <si>
    <t>25ХГСНМ(20хн3а)</t>
  </si>
  <si>
    <t>650/130</t>
  </si>
  <si>
    <t>650/200</t>
  </si>
  <si>
    <t>650+450</t>
  </si>
  <si>
    <t>655обт.</t>
  </si>
  <si>
    <t>660(670-640)</t>
  </si>
  <si>
    <t>660/120</t>
  </si>
  <si>
    <t>660/140</t>
  </si>
  <si>
    <t>660/220</t>
  </si>
  <si>
    <t>30ХН3М2ФА</t>
  </si>
  <si>
    <t>660/380</t>
  </si>
  <si>
    <t>660+310+350обт.</t>
  </si>
  <si>
    <t>660обт+310+350обт</t>
  </si>
  <si>
    <t>665/250обт.</t>
  </si>
  <si>
    <t>670(620)</t>
  </si>
  <si>
    <t>670(680)</t>
  </si>
  <si>
    <t>670 (680)</t>
  </si>
  <si>
    <t>680/130</t>
  </si>
  <si>
    <t>680/140</t>
  </si>
  <si>
    <t>673(640)/240(270)</t>
  </si>
  <si>
    <t>680/470</t>
  </si>
  <si>
    <t>680/230</t>
  </si>
  <si>
    <t>40ХН(60ХН)</t>
  </si>
  <si>
    <t>680/220</t>
  </si>
  <si>
    <t>690/430</t>
  </si>
  <si>
    <t>690+655</t>
  </si>
  <si>
    <t>690/110</t>
  </si>
  <si>
    <t>690обт.</t>
  </si>
  <si>
    <t>690/260+1020/260+690/260</t>
  </si>
  <si>
    <t>700(670)</t>
  </si>
  <si>
    <t>700/130</t>
  </si>
  <si>
    <t>700(720)</t>
  </si>
  <si>
    <t>700+200</t>
  </si>
  <si>
    <t>700/80+320/80</t>
  </si>
  <si>
    <t>700/280</t>
  </si>
  <si>
    <t>700/250</t>
  </si>
  <si>
    <t>700/220</t>
  </si>
  <si>
    <t>700/440</t>
  </si>
  <si>
    <t>700/300</t>
  </si>
  <si>
    <t>38ХМА(35ХМ)</t>
  </si>
  <si>
    <t>700(680)</t>
  </si>
  <si>
    <t>700/500</t>
  </si>
  <si>
    <t>710/300обт.</t>
  </si>
  <si>
    <t>710/130</t>
  </si>
  <si>
    <t>710/270</t>
  </si>
  <si>
    <t>720(730)</t>
  </si>
  <si>
    <t>720(710)</t>
  </si>
  <si>
    <t>720/140</t>
  </si>
  <si>
    <t>720/220</t>
  </si>
  <si>
    <t>720/90</t>
  </si>
  <si>
    <t>720/120</t>
  </si>
  <si>
    <t>720/160</t>
  </si>
  <si>
    <t>720/500</t>
  </si>
  <si>
    <t>725(715)</t>
  </si>
  <si>
    <t>730/520</t>
  </si>
  <si>
    <t>740обт.</t>
  </si>
  <si>
    <t>740(720)</t>
  </si>
  <si>
    <t>740/530</t>
  </si>
  <si>
    <t>740/210</t>
  </si>
  <si>
    <t>30ХМ</t>
  </si>
  <si>
    <t>740/200</t>
  </si>
  <si>
    <t>749обт.</t>
  </si>
  <si>
    <t>750(730)</t>
  </si>
  <si>
    <t>750+660</t>
  </si>
  <si>
    <t>750/90</t>
  </si>
  <si>
    <t>750/150</t>
  </si>
  <si>
    <t>750(670)</t>
  </si>
  <si>
    <t>750+460</t>
  </si>
  <si>
    <t>753обт</t>
  </si>
  <si>
    <t>760/570</t>
  </si>
  <si>
    <t>760/260</t>
  </si>
  <si>
    <t>760/150+290/150</t>
  </si>
  <si>
    <t>760+800+960</t>
  </si>
  <si>
    <t>760+200</t>
  </si>
  <si>
    <t>760/120+300/120</t>
  </si>
  <si>
    <t>34хн1ма</t>
  </si>
  <si>
    <t>760/125</t>
  </si>
  <si>
    <t>760+460</t>
  </si>
  <si>
    <t>770(780)</t>
  </si>
  <si>
    <t>770/530</t>
  </si>
  <si>
    <t>770/550</t>
  </si>
  <si>
    <t>770/150</t>
  </si>
  <si>
    <t>770(730)</t>
  </si>
  <si>
    <t>770/110</t>
  </si>
  <si>
    <t>770/100</t>
  </si>
  <si>
    <t>780/145</t>
  </si>
  <si>
    <t>790/170</t>
  </si>
  <si>
    <t>790(770)</t>
  </si>
  <si>
    <t>790(810)</t>
  </si>
  <si>
    <t>800/650</t>
  </si>
  <si>
    <t>800/260</t>
  </si>
  <si>
    <t>800/180</t>
  </si>
  <si>
    <t>800/100</t>
  </si>
  <si>
    <t>0,620,74</t>
  </si>
  <si>
    <t>800/230+1100/230+820/230</t>
  </si>
  <si>
    <t>800/470</t>
  </si>
  <si>
    <t>09г2С</t>
  </si>
  <si>
    <t>810(830)</t>
  </si>
  <si>
    <t>820(810)</t>
  </si>
  <si>
    <t>820?</t>
  </si>
  <si>
    <t>820+1000(950)+840</t>
  </si>
  <si>
    <t>820/220</t>
  </si>
  <si>
    <t>820/400</t>
  </si>
  <si>
    <t>820/410</t>
  </si>
  <si>
    <t>820/420</t>
  </si>
  <si>
    <t>820/160</t>
  </si>
  <si>
    <t>820/90</t>
  </si>
  <si>
    <t>820/100</t>
  </si>
  <si>
    <t>830/280</t>
  </si>
  <si>
    <t>830/420</t>
  </si>
  <si>
    <t>830/430</t>
  </si>
  <si>
    <t>840/150</t>
  </si>
  <si>
    <t>840/420</t>
  </si>
  <si>
    <t>850-870</t>
  </si>
  <si>
    <t>850/150</t>
  </si>
  <si>
    <t>850(830)/510</t>
  </si>
  <si>
    <t>850(830)</t>
  </si>
  <si>
    <t>850/220</t>
  </si>
  <si>
    <t>850(840)</t>
  </si>
  <si>
    <t>850+460</t>
  </si>
  <si>
    <t>860/550</t>
  </si>
  <si>
    <t>860/540</t>
  </si>
  <si>
    <t>860/120</t>
  </si>
  <si>
    <t>860/380-400</t>
  </si>
  <si>
    <t>864/150+860обт</t>
  </si>
  <si>
    <t>870/650</t>
  </si>
  <si>
    <t>870/560</t>
  </si>
  <si>
    <t>870/530</t>
  </si>
  <si>
    <t>870/670+920/670</t>
  </si>
  <si>
    <t>880/530</t>
  </si>
  <si>
    <t>880/550</t>
  </si>
  <si>
    <t>880 с м/о</t>
  </si>
  <si>
    <t>880/100</t>
  </si>
  <si>
    <t>880/130</t>
  </si>
  <si>
    <t>880/210</t>
  </si>
  <si>
    <t>885+740/110обт</t>
  </si>
  <si>
    <t>890/110</t>
  </si>
  <si>
    <t>890/120</t>
  </si>
  <si>
    <t>890/250</t>
  </si>
  <si>
    <t>890/280</t>
  </si>
  <si>
    <t>890/100</t>
  </si>
  <si>
    <t>890/220</t>
  </si>
  <si>
    <t>900/620</t>
  </si>
  <si>
    <t>900/580</t>
  </si>
  <si>
    <t>900/360</t>
  </si>
  <si>
    <t>900/100</t>
  </si>
  <si>
    <t>900/130</t>
  </si>
  <si>
    <t>900/160</t>
  </si>
  <si>
    <t>900/370</t>
  </si>
  <si>
    <t>900/760</t>
  </si>
  <si>
    <t>900/250</t>
  </si>
  <si>
    <t>900/260</t>
  </si>
  <si>
    <t>900/280</t>
  </si>
  <si>
    <t>900/290</t>
  </si>
  <si>
    <t>900/260+590/260</t>
  </si>
  <si>
    <t>900/120+400/120</t>
  </si>
  <si>
    <t>900/200</t>
  </si>
  <si>
    <t>900/230</t>
  </si>
  <si>
    <t>900/140</t>
  </si>
  <si>
    <t>10ГН2МФА</t>
  </si>
  <si>
    <t>900/380</t>
  </si>
  <si>
    <t>900/390</t>
  </si>
  <si>
    <t>910/575</t>
  </si>
  <si>
    <t>910/130</t>
  </si>
  <si>
    <t>910(960)</t>
  </si>
  <si>
    <t>910/250</t>
  </si>
  <si>
    <t>910/280</t>
  </si>
  <si>
    <t>910/160</t>
  </si>
  <si>
    <t>920/710</t>
  </si>
  <si>
    <t>920/370</t>
  </si>
  <si>
    <t>920/340</t>
  </si>
  <si>
    <t>920/170</t>
  </si>
  <si>
    <t>920/215</t>
  </si>
  <si>
    <t>920/270</t>
  </si>
  <si>
    <t>920/290</t>
  </si>
  <si>
    <t>920/670+870/670</t>
  </si>
  <si>
    <t>920/760</t>
  </si>
  <si>
    <t>920 обт</t>
  </si>
  <si>
    <t>920/220</t>
  </si>
  <si>
    <t>920/230+540/230</t>
  </si>
  <si>
    <t>920/230</t>
  </si>
  <si>
    <t>920/450</t>
  </si>
  <si>
    <t>920/360</t>
  </si>
  <si>
    <t>920/380</t>
  </si>
  <si>
    <t>930/630</t>
  </si>
  <si>
    <t>930/660</t>
  </si>
  <si>
    <t>930/140</t>
  </si>
  <si>
    <t>930/160</t>
  </si>
  <si>
    <t>930/250</t>
  </si>
  <si>
    <t>930/350</t>
  </si>
  <si>
    <t>930/360</t>
  </si>
  <si>
    <t>930/150</t>
  </si>
  <si>
    <t>940/800</t>
  </si>
  <si>
    <t>940/140</t>
  </si>
  <si>
    <t>940/230</t>
  </si>
  <si>
    <t>940/270</t>
  </si>
  <si>
    <t>940/340</t>
  </si>
  <si>
    <t>940/430</t>
  </si>
  <si>
    <t>940/440</t>
  </si>
  <si>
    <t>940/200</t>
  </si>
  <si>
    <t>945/480обт</t>
  </si>
  <si>
    <t>950/300</t>
  </si>
  <si>
    <t>950/200</t>
  </si>
  <si>
    <t>950/140</t>
  </si>
  <si>
    <t>950(980)/140</t>
  </si>
  <si>
    <t>950/340</t>
  </si>
  <si>
    <t>950/120</t>
  </si>
  <si>
    <t>960/760</t>
  </si>
  <si>
    <t>960/770</t>
  </si>
  <si>
    <t>960/300</t>
  </si>
  <si>
    <t>960/100</t>
  </si>
  <si>
    <t>960/90</t>
  </si>
  <si>
    <t>960/330</t>
  </si>
  <si>
    <t>960/520</t>
  </si>
  <si>
    <t>960+800+760</t>
  </si>
  <si>
    <t>960/130</t>
  </si>
  <si>
    <t>960/240</t>
  </si>
  <si>
    <t>960/250+540/250</t>
  </si>
  <si>
    <t>970/750</t>
  </si>
  <si>
    <t>970/770</t>
  </si>
  <si>
    <t>970/230</t>
  </si>
  <si>
    <t>970/460</t>
  </si>
  <si>
    <t>970/140</t>
  </si>
  <si>
    <t>980/760</t>
  </si>
  <si>
    <t>980/770</t>
  </si>
  <si>
    <t>980/300</t>
  </si>
  <si>
    <t>980+895</t>
  </si>
  <si>
    <t>980/450</t>
  </si>
  <si>
    <t>980/280+580/280</t>
  </si>
  <si>
    <t>980/110+480/110</t>
  </si>
  <si>
    <t>990/740</t>
  </si>
  <si>
    <t>990/750</t>
  </si>
  <si>
    <t>990/780</t>
  </si>
  <si>
    <t>990/300</t>
  </si>
  <si>
    <t>1000/450</t>
  </si>
  <si>
    <t>1000/750</t>
  </si>
  <si>
    <t>1000/760</t>
  </si>
  <si>
    <t>1000(950)</t>
  </si>
  <si>
    <t>1000/150</t>
  </si>
  <si>
    <t>1000/250</t>
  </si>
  <si>
    <t>1000/220</t>
  </si>
  <si>
    <t>1000/240</t>
  </si>
  <si>
    <t>1000/260</t>
  </si>
  <si>
    <t>1000/180</t>
  </si>
  <si>
    <t>1000/200</t>
  </si>
  <si>
    <t>36Х2Н2МФА</t>
  </si>
  <si>
    <t>1000/210</t>
  </si>
  <si>
    <t>12Х1Мф</t>
  </si>
  <si>
    <t>1000/280</t>
  </si>
  <si>
    <t>1010/650</t>
  </si>
  <si>
    <t>1010/270</t>
  </si>
  <si>
    <t>1010/220</t>
  </si>
  <si>
    <t>1010/250</t>
  </si>
  <si>
    <t>1010/280</t>
  </si>
  <si>
    <t>1020/360</t>
  </si>
  <si>
    <t>1020/750</t>
  </si>
  <si>
    <t>1020/280</t>
  </si>
  <si>
    <t>1020/570</t>
  </si>
  <si>
    <t>1020/220</t>
  </si>
  <si>
    <t>1030/180</t>
  </si>
  <si>
    <t>1030/560</t>
  </si>
  <si>
    <t>1030/220</t>
  </si>
  <si>
    <t>1040/740</t>
  </si>
  <si>
    <t>1040/830обт</t>
  </si>
  <si>
    <t>1040/140</t>
  </si>
  <si>
    <t>1040(1010)/280</t>
  </si>
  <si>
    <t>1040/480</t>
  </si>
  <si>
    <t>1040/510</t>
  </si>
  <si>
    <t>1050/330</t>
  </si>
  <si>
    <t>1050/820</t>
  </si>
  <si>
    <t>1050/120</t>
  </si>
  <si>
    <t>1050/270</t>
  </si>
  <si>
    <t>за штуку</t>
  </si>
  <si>
    <t>1050/360</t>
  </si>
  <si>
    <t>1050/200</t>
  </si>
  <si>
    <t>1060/180</t>
  </si>
  <si>
    <t>1060/190</t>
  </si>
  <si>
    <t>1060/830</t>
  </si>
  <si>
    <t>1070/530</t>
  </si>
  <si>
    <t>1090/350</t>
  </si>
  <si>
    <t>1090/530</t>
  </si>
  <si>
    <t>1090/645</t>
  </si>
  <si>
    <t>1090/220+490/220</t>
  </si>
  <si>
    <t>1100/330</t>
  </si>
  <si>
    <t>40(35-40)</t>
  </si>
  <si>
    <t>1100/770</t>
  </si>
  <si>
    <t>1120/700+1300/700</t>
  </si>
  <si>
    <t>1120/170</t>
  </si>
  <si>
    <t>1130/210</t>
  </si>
  <si>
    <t>1140/150</t>
  </si>
  <si>
    <t>1140/750</t>
  </si>
  <si>
    <t>1140/190</t>
  </si>
  <si>
    <t>1150(1180)</t>
  </si>
  <si>
    <t>1150/200</t>
  </si>
  <si>
    <t>1150/210</t>
  </si>
  <si>
    <t>1150/180</t>
  </si>
  <si>
    <t>1150/220</t>
  </si>
  <si>
    <t>1160/650+600проточ</t>
  </si>
  <si>
    <t>1160/210</t>
  </si>
  <si>
    <t>1160/200</t>
  </si>
  <si>
    <t>1170/200</t>
  </si>
  <si>
    <t>1180/740</t>
  </si>
  <si>
    <t>1180/880</t>
  </si>
  <si>
    <t>1180обт.</t>
  </si>
  <si>
    <t>1180/180</t>
  </si>
  <si>
    <t>1190/890</t>
  </si>
  <si>
    <t>1200/870</t>
  </si>
  <si>
    <t>1200/880</t>
  </si>
  <si>
    <t>1200/150</t>
  </si>
  <si>
    <t>1200/140</t>
  </si>
  <si>
    <t>1200/110</t>
  </si>
  <si>
    <t>1200/930</t>
  </si>
  <si>
    <t>1200/840</t>
  </si>
  <si>
    <t>1220/120</t>
  </si>
  <si>
    <t>1220/170</t>
  </si>
  <si>
    <t>1220/960</t>
  </si>
  <si>
    <t>1220/180</t>
  </si>
  <si>
    <t>1220/190</t>
  </si>
  <si>
    <t>1220/610</t>
  </si>
  <si>
    <t>1230/370</t>
  </si>
  <si>
    <t>1230/160</t>
  </si>
  <si>
    <t>1230(1190)(1470)</t>
  </si>
  <si>
    <t>1240/170</t>
  </si>
  <si>
    <t>1250/850</t>
  </si>
  <si>
    <t>1250/320</t>
  </si>
  <si>
    <t>40ХН(45ХН)</t>
  </si>
  <si>
    <t>1250(1150)+800</t>
  </si>
  <si>
    <t>1280/740обт.</t>
  </si>
  <si>
    <t>1290/330</t>
  </si>
  <si>
    <t>1290/240+1290/595</t>
  </si>
  <si>
    <t>1300/700+1120/700</t>
  </si>
  <si>
    <t>1300/1060</t>
  </si>
  <si>
    <t>1300/330</t>
  </si>
  <si>
    <t>1300/350</t>
  </si>
  <si>
    <t>1300/100</t>
  </si>
  <si>
    <t>1300/620</t>
  </si>
  <si>
    <t>1310/1000обт</t>
  </si>
  <si>
    <t>1320/950</t>
  </si>
  <si>
    <t>1330(1280)</t>
  </si>
  <si>
    <t>1390/780</t>
  </si>
  <si>
    <t>1450/490</t>
  </si>
  <si>
    <t>1480/1140</t>
  </si>
  <si>
    <t>1480/350</t>
  </si>
  <si>
    <t>1480/480</t>
  </si>
  <si>
    <t>1520/880</t>
  </si>
  <si>
    <t>1540/1120</t>
  </si>
  <si>
    <t>1540/1130</t>
  </si>
  <si>
    <t>1550/1150</t>
  </si>
  <si>
    <t>1560/700(500)+1080/700(500)</t>
  </si>
  <si>
    <t>1760/230</t>
  </si>
  <si>
    <t>1920/1710</t>
  </si>
  <si>
    <t>2350/1600</t>
  </si>
  <si>
    <t>2450/1900</t>
  </si>
  <si>
    <t>2440/1880</t>
  </si>
  <si>
    <t>3150/2490</t>
  </si>
  <si>
    <t>Колесо</t>
  </si>
  <si>
    <t>40(50)</t>
  </si>
  <si>
    <t>18Х2Н4ВА</t>
  </si>
  <si>
    <t xml:space="preserve">   </t>
  </si>
  <si>
    <t xml:space="preserve">      4Х5МФС</t>
  </si>
  <si>
    <t>Круг нерж</t>
  </si>
  <si>
    <t>14Х17Н2(ЭИ 268)</t>
  </si>
  <si>
    <t>16Х16Н3МАД</t>
  </si>
  <si>
    <t>56гнутый</t>
  </si>
  <si>
    <t>25Х18Н9С2 (ЭИ95)</t>
  </si>
  <si>
    <t>44ХНТЮ</t>
  </si>
  <si>
    <t>160(163)</t>
  </si>
  <si>
    <t xml:space="preserve">210обт. </t>
  </si>
  <si>
    <t>220мех.обр.</t>
  </si>
  <si>
    <t>240мех.обр.</t>
  </si>
  <si>
    <t>260мех.обр.</t>
  </si>
  <si>
    <t>300мех.обр</t>
  </si>
  <si>
    <t>302обт.</t>
  </si>
  <si>
    <t>310мех.обр.</t>
  </si>
  <si>
    <t>320мех.обр.</t>
  </si>
  <si>
    <t>330мех.обр.</t>
  </si>
  <si>
    <t>20х13</t>
  </si>
  <si>
    <t>332обт</t>
  </si>
  <si>
    <t>340мех.обр.</t>
  </si>
  <si>
    <t>360мех.обр.</t>
  </si>
  <si>
    <t>410мех.обр.</t>
  </si>
  <si>
    <t>440мех.обр.</t>
  </si>
  <si>
    <t>12Х2НВФА(эи712)</t>
  </si>
  <si>
    <t>480мех.обр.</t>
  </si>
  <si>
    <t>500мех.обр.</t>
  </si>
  <si>
    <t>1,95-2,75</t>
  </si>
  <si>
    <t>2,43-3,30</t>
  </si>
  <si>
    <t>3,24-3,73</t>
  </si>
  <si>
    <t>3,53-3,73</t>
  </si>
  <si>
    <t>2,88-3,46</t>
  </si>
  <si>
    <t>4,05-4,30</t>
  </si>
  <si>
    <t>5,2м</t>
  </si>
  <si>
    <t>Полоса ков</t>
  </si>
  <si>
    <t>90х600 УЗК</t>
  </si>
  <si>
    <t>120х600 УЗК</t>
  </si>
  <si>
    <t xml:space="preserve">170х180 </t>
  </si>
  <si>
    <t>250х360 УЗК</t>
  </si>
  <si>
    <t>Круг ков</t>
  </si>
  <si>
    <t>100 обт.</t>
  </si>
  <si>
    <t>Квадрат ков</t>
  </si>
  <si>
    <t>20(21)</t>
  </si>
  <si>
    <t>Бухта</t>
  </si>
  <si>
    <t xml:space="preserve">Квадрат </t>
  </si>
  <si>
    <t>16х16</t>
  </si>
  <si>
    <t>40х40</t>
  </si>
  <si>
    <t>50х50</t>
  </si>
  <si>
    <t>50х56</t>
  </si>
  <si>
    <t>60х60</t>
  </si>
  <si>
    <t>120х120</t>
  </si>
  <si>
    <t>130авиа/пр (АТП)</t>
  </si>
  <si>
    <t>135обт</t>
  </si>
  <si>
    <t>140 калибр</t>
  </si>
  <si>
    <t>144обт.</t>
  </si>
  <si>
    <t>150обт.</t>
  </si>
  <si>
    <t>180(200)</t>
  </si>
  <si>
    <t>190обт.</t>
  </si>
  <si>
    <t>190+210</t>
  </si>
  <si>
    <t>200+260+290+302+510обт.</t>
  </si>
  <si>
    <t>200+225+240обт.</t>
  </si>
  <si>
    <t>200+230+200</t>
  </si>
  <si>
    <t>210+190</t>
  </si>
  <si>
    <t>210/80</t>
  </si>
  <si>
    <t>220обт.</t>
  </si>
  <si>
    <t>220+260+290</t>
  </si>
  <si>
    <t>220/60</t>
  </si>
  <si>
    <t>225обт.</t>
  </si>
  <si>
    <t>230обт.</t>
  </si>
  <si>
    <t>240+225+200обт.</t>
  </si>
  <si>
    <t>255обт.</t>
  </si>
  <si>
    <t>257+220+200+170обт.</t>
  </si>
  <si>
    <t>257обт.</t>
  </si>
  <si>
    <t>262обт.</t>
  </si>
  <si>
    <t>265+232обт+214обт.</t>
  </si>
  <si>
    <t>265+265/40обт.</t>
  </si>
  <si>
    <t>270+410</t>
  </si>
  <si>
    <t>270+540</t>
  </si>
  <si>
    <t>272обт.</t>
  </si>
  <si>
    <t>280обт.</t>
  </si>
  <si>
    <t>292обт.</t>
  </si>
  <si>
    <t>295+317обт.</t>
  </si>
  <si>
    <t>300/70+510обт.</t>
  </si>
  <si>
    <t>300/80+300обт.</t>
  </si>
  <si>
    <t>300обт.</t>
  </si>
  <si>
    <t>310(290)</t>
  </si>
  <si>
    <t>310+320+310+320обт.</t>
  </si>
  <si>
    <t>314/160обт</t>
  </si>
  <si>
    <t>315обт</t>
  </si>
  <si>
    <t>323/70+323+310обт</t>
  </si>
  <si>
    <t>325обт</t>
  </si>
  <si>
    <t xml:space="preserve">329обт. </t>
  </si>
  <si>
    <t>330обт</t>
  </si>
  <si>
    <t>330/70+330обт.</t>
  </si>
  <si>
    <t>330+294+255+236+220обт</t>
  </si>
  <si>
    <t>330+480</t>
  </si>
  <si>
    <t>330(340)</t>
  </si>
  <si>
    <t>330(350)</t>
  </si>
  <si>
    <t>332обт.</t>
  </si>
  <si>
    <t>335обт.</t>
  </si>
  <si>
    <t>336обт.</t>
  </si>
  <si>
    <t>337обт.</t>
  </si>
  <si>
    <t>340обт</t>
  </si>
  <si>
    <t>338обт.</t>
  </si>
  <si>
    <t>340обт.</t>
  </si>
  <si>
    <t>345/40</t>
  </si>
  <si>
    <t>350обт.</t>
  </si>
  <si>
    <t>350(349)обт.</t>
  </si>
  <si>
    <t>352обт.</t>
  </si>
  <si>
    <t>350(320)</t>
  </si>
  <si>
    <t>350(370)</t>
  </si>
  <si>
    <t>350+645</t>
  </si>
  <si>
    <t>355/110+320обт</t>
  </si>
  <si>
    <t>355обт</t>
  </si>
  <si>
    <t>360/105обт</t>
  </si>
  <si>
    <t>360(355)/105обт</t>
  </si>
  <si>
    <t>361/73обт</t>
  </si>
  <si>
    <t>362/103обт</t>
  </si>
  <si>
    <t>363/73обт</t>
  </si>
  <si>
    <t>365обт</t>
  </si>
  <si>
    <t>380/60обт</t>
  </si>
  <si>
    <t>385обт.</t>
  </si>
  <si>
    <t>388/90обт</t>
  </si>
  <si>
    <t>390/90обт.</t>
  </si>
  <si>
    <t>390/120+610/120</t>
  </si>
  <si>
    <t>390/120+620/120</t>
  </si>
  <si>
    <t>390/180+550/180</t>
  </si>
  <si>
    <t>392обт</t>
  </si>
  <si>
    <t>398обт</t>
  </si>
  <si>
    <t>400/120+620/120</t>
  </si>
  <si>
    <t>400/130+600/130</t>
  </si>
  <si>
    <t>400/130+610/130</t>
  </si>
  <si>
    <t>404+425+413обт</t>
  </si>
  <si>
    <t>410+395обт</t>
  </si>
  <si>
    <t>420обт</t>
  </si>
  <si>
    <t>426+455обт</t>
  </si>
  <si>
    <t>430+320</t>
  </si>
  <si>
    <t>430/100обт</t>
  </si>
  <si>
    <t>436обт</t>
  </si>
  <si>
    <t>440обт</t>
  </si>
  <si>
    <t>440/100обт</t>
  </si>
  <si>
    <t>465(450)/160обт</t>
  </si>
  <si>
    <t>465/160обт</t>
  </si>
  <si>
    <t>470+360обт</t>
  </si>
  <si>
    <t>470+540обт</t>
  </si>
  <si>
    <t>470/110обт.</t>
  </si>
  <si>
    <t>483/92обт</t>
  </si>
  <si>
    <t>484/80обт</t>
  </si>
  <si>
    <t>487обт</t>
  </si>
  <si>
    <t>490/100обт</t>
  </si>
  <si>
    <t>500(510)</t>
  </si>
  <si>
    <t>500+430+480+260</t>
  </si>
  <si>
    <t>500+340</t>
  </si>
  <si>
    <t>500+580</t>
  </si>
  <si>
    <t>500/85обт</t>
  </si>
  <si>
    <t>505обт</t>
  </si>
  <si>
    <t>508обт+495обт+520</t>
  </si>
  <si>
    <t>510+302+290+260+200обт</t>
  </si>
  <si>
    <t>510/250+470/250+510/250</t>
  </si>
  <si>
    <t>515/100+515+542+485обт</t>
  </si>
  <si>
    <t>520/100обт</t>
  </si>
  <si>
    <t>520обт</t>
  </si>
  <si>
    <t>525+510обт</t>
  </si>
  <si>
    <t>536обт</t>
  </si>
  <si>
    <t>550+620+535обт</t>
  </si>
  <si>
    <t>540/190+390/190</t>
  </si>
  <si>
    <t>540+270</t>
  </si>
  <si>
    <t>542обт</t>
  </si>
  <si>
    <t>565обт</t>
  </si>
  <si>
    <t>566обт</t>
  </si>
  <si>
    <t>570/70</t>
  </si>
  <si>
    <t>570/195обт</t>
  </si>
  <si>
    <t>320+575+320обт</t>
  </si>
  <si>
    <t>578+642+820обт</t>
  </si>
  <si>
    <t>580+500</t>
  </si>
  <si>
    <t>590обт</t>
  </si>
  <si>
    <t>600/120+380/120</t>
  </si>
  <si>
    <t>600/130+400/130</t>
  </si>
  <si>
    <t>605обт</t>
  </si>
  <si>
    <t>610/120+390/120</t>
  </si>
  <si>
    <t>610/130+400/130</t>
  </si>
  <si>
    <t>620/120+400/120</t>
  </si>
  <si>
    <t>630/100обт</t>
  </si>
  <si>
    <t>630обт</t>
  </si>
  <si>
    <t>640/220обт.</t>
  </si>
  <si>
    <t>640/110обт</t>
  </si>
  <si>
    <t>653/290обт</t>
  </si>
  <si>
    <t>660/250</t>
  </si>
  <si>
    <t>660+660/90обт.</t>
  </si>
  <si>
    <t>665обт</t>
  </si>
  <si>
    <t>680обт.</t>
  </si>
  <si>
    <t>680/300+930/300</t>
  </si>
  <si>
    <t>690обт</t>
  </si>
  <si>
    <t>700/210</t>
  </si>
  <si>
    <t>740/100обт</t>
  </si>
  <si>
    <t>740/110обт</t>
  </si>
  <si>
    <t>820+642+578обт</t>
  </si>
  <si>
    <t>830+880обт.</t>
  </si>
  <si>
    <t>850/320+820/320обт</t>
  </si>
  <si>
    <t>850/130обт</t>
  </si>
  <si>
    <t>860/100обт</t>
  </si>
  <si>
    <t>880+830обт</t>
  </si>
  <si>
    <t>897обт.</t>
  </si>
  <si>
    <t>930/300+680/300</t>
  </si>
  <si>
    <t>940/480обт</t>
  </si>
  <si>
    <t>943обт.</t>
  </si>
  <si>
    <t>994обт.</t>
  </si>
  <si>
    <t>1210/120+560/120</t>
  </si>
  <si>
    <t>12х145</t>
  </si>
  <si>
    <t>12х110</t>
  </si>
  <si>
    <t>20х12</t>
  </si>
  <si>
    <t>930/120</t>
  </si>
  <si>
    <t>26х10</t>
  </si>
  <si>
    <t>60х300</t>
  </si>
  <si>
    <t xml:space="preserve"> 0.3</t>
  </si>
  <si>
    <t>Квадрат нерж</t>
  </si>
  <si>
    <t>Круг нерж/ков</t>
  </si>
  <si>
    <t>205обт</t>
  </si>
  <si>
    <t>250мех.обр.</t>
  </si>
  <si>
    <t>500/100обт.</t>
  </si>
  <si>
    <t>16ХГ</t>
  </si>
  <si>
    <t>380/ф140</t>
  </si>
  <si>
    <t>180обт.</t>
  </si>
  <si>
    <t>250х610УЗК</t>
  </si>
  <si>
    <t>70обт. УЗК</t>
  </si>
  <si>
    <t>200обт. УЗК</t>
  </si>
  <si>
    <t>230обт. УЗК</t>
  </si>
  <si>
    <t>250обт. УЗК</t>
  </si>
  <si>
    <t>260обт. УЗК</t>
  </si>
  <si>
    <t>270обт. УЗК</t>
  </si>
  <si>
    <t>280обт. УЗК</t>
  </si>
  <si>
    <t>300обт. УЗК</t>
  </si>
  <si>
    <t>350обт. УЗК</t>
  </si>
  <si>
    <t>70х610</t>
  </si>
  <si>
    <t>80х610 УЗК</t>
  </si>
  <si>
    <t>90х510 УЗК</t>
  </si>
  <si>
    <t>110х610 УЗК</t>
  </si>
  <si>
    <t>120х610 УЗК</t>
  </si>
  <si>
    <t>120х460х750 УЗК</t>
  </si>
  <si>
    <t>130х610 УЗК</t>
  </si>
  <si>
    <t>140х610 УЗК</t>
  </si>
  <si>
    <t>150х610 УЗК</t>
  </si>
  <si>
    <t>160х610 УЗК</t>
  </si>
  <si>
    <t>180х610 УЗК</t>
  </si>
  <si>
    <t>180х670 УЗК</t>
  </si>
  <si>
    <t>200х610 УЗК</t>
  </si>
  <si>
    <t>200х290х290 УЗК</t>
  </si>
  <si>
    <t>220х610 УЗК</t>
  </si>
  <si>
    <t>260х290х390 УЗК</t>
  </si>
  <si>
    <t>210обт.</t>
  </si>
  <si>
    <t>980/ф710</t>
  </si>
  <si>
    <t>260обт.</t>
  </si>
  <si>
    <t>95(100)</t>
  </si>
  <si>
    <t>300 УЗК</t>
  </si>
  <si>
    <t>320 УЗК</t>
  </si>
  <si>
    <t>330 УЗК</t>
  </si>
  <si>
    <t>340 УЗК</t>
  </si>
  <si>
    <t>350 УЗК</t>
  </si>
  <si>
    <t>360 УЗК</t>
  </si>
  <si>
    <t>380 УЗК</t>
  </si>
  <si>
    <t>400 УЗК</t>
  </si>
  <si>
    <t>420 УЗК</t>
  </si>
  <si>
    <t>450 УЗК</t>
  </si>
  <si>
    <t>500 УЗК</t>
  </si>
  <si>
    <t>490(450)</t>
  </si>
  <si>
    <t>245обт.</t>
  </si>
  <si>
    <t>530обт.</t>
  </si>
  <si>
    <t>560(540)</t>
  </si>
  <si>
    <t>570обт.</t>
  </si>
  <si>
    <t>600обт.</t>
  </si>
  <si>
    <t>610обт.</t>
  </si>
  <si>
    <t>700обт.</t>
  </si>
  <si>
    <t>800обт.</t>
  </si>
  <si>
    <t>165х510 УЗК</t>
  </si>
  <si>
    <t>380обт.</t>
  </si>
  <si>
    <t>210(190)</t>
  </si>
  <si>
    <t>220(260)</t>
  </si>
  <si>
    <t>750(1300)</t>
  </si>
  <si>
    <t>20отж.</t>
  </si>
  <si>
    <t>25отж.</t>
  </si>
  <si>
    <t>30отж.</t>
  </si>
  <si>
    <t>40отж.</t>
  </si>
  <si>
    <t>50отж.</t>
  </si>
  <si>
    <t>60отж.</t>
  </si>
  <si>
    <t>70отж.</t>
  </si>
  <si>
    <t>80отж.</t>
  </si>
  <si>
    <t>90отж.</t>
  </si>
  <si>
    <t>100отж.</t>
  </si>
  <si>
    <t>110отж.</t>
  </si>
  <si>
    <t>120отж.</t>
  </si>
  <si>
    <t>150отж.</t>
  </si>
  <si>
    <t>160отж.</t>
  </si>
  <si>
    <t>180отж.</t>
  </si>
  <si>
    <t>200отж.</t>
  </si>
  <si>
    <t>230отж.</t>
  </si>
  <si>
    <t>250отж.</t>
  </si>
  <si>
    <t>280отж.</t>
  </si>
  <si>
    <t>220обт. УЗК</t>
  </si>
  <si>
    <t>240обт. УЗК</t>
  </si>
  <si>
    <t>835обт.</t>
  </si>
  <si>
    <t>210-300</t>
  </si>
  <si>
    <t>240-350</t>
  </si>
  <si>
    <t>250-330</t>
  </si>
  <si>
    <t>270-350</t>
  </si>
  <si>
    <r>
      <t>65</t>
    </r>
    <r>
      <rPr>
        <u/>
        <sz val="10"/>
        <rFont val="Arial"/>
        <family val="2"/>
        <charset val="204"/>
      </rPr>
      <t>Г</t>
    </r>
  </si>
  <si>
    <t>3,00-3,30</t>
  </si>
  <si>
    <t>1,70-1,90</t>
  </si>
  <si>
    <t>3,10-4,39</t>
  </si>
  <si>
    <t>1,50-1,87</t>
  </si>
  <si>
    <t>2,70-3,10</t>
  </si>
  <si>
    <t>2,90-3,26</t>
  </si>
  <si>
    <t>2,80-3,10</t>
  </si>
  <si>
    <t>4,70-4,80</t>
  </si>
  <si>
    <t>2,75-2,96</t>
  </si>
  <si>
    <t>3,90-4,20</t>
  </si>
  <si>
    <t>4,30-4,70</t>
  </si>
  <si>
    <t>3,56-3,84</t>
  </si>
  <si>
    <t>3,00-3,0</t>
  </si>
  <si>
    <t>4,14-4,85</t>
  </si>
  <si>
    <t>2,70-2,90</t>
  </si>
  <si>
    <t>2,50-3,36</t>
  </si>
  <si>
    <t xml:space="preserve"> 2,62-2,97</t>
  </si>
  <si>
    <t>2,45-3,18</t>
  </si>
  <si>
    <t>3,32-3,38</t>
  </si>
  <si>
    <t>2,71-3,72</t>
  </si>
  <si>
    <t>3,68м</t>
  </si>
  <si>
    <t>3,32-3,65</t>
  </si>
  <si>
    <t>2,57-4,57</t>
  </si>
  <si>
    <t xml:space="preserve"> 1,96-4,65</t>
  </si>
  <si>
    <t>1,06-2,05</t>
  </si>
  <si>
    <t>1,90-2,35</t>
  </si>
  <si>
    <t>2,00-2,40</t>
  </si>
  <si>
    <t>5,30-5,60</t>
  </si>
  <si>
    <t>4,00-5,25</t>
  </si>
  <si>
    <t>4,30-5,60</t>
  </si>
  <si>
    <t>3,95-4,40</t>
  </si>
  <si>
    <t>3,85-4,40</t>
  </si>
  <si>
    <t>3,50-3,86</t>
  </si>
  <si>
    <t>4,05-4,35</t>
  </si>
  <si>
    <t>1,64-2,75</t>
  </si>
  <si>
    <t>3,06-3,19</t>
  </si>
  <si>
    <t>3,27-3,82</t>
  </si>
  <si>
    <t>2,72-2,92</t>
  </si>
  <si>
    <t>3,10-4,10</t>
  </si>
  <si>
    <t>3,80-4,00</t>
  </si>
  <si>
    <t>4,20-5,00</t>
  </si>
  <si>
    <t>3,88-4,01</t>
  </si>
  <si>
    <t>3,12-3,60</t>
  </si>
  <si>
    <t>3,20-3,50</t>
  </si>
  <si>
    <t>2,96-5,02</t>
  </si>
  <si>
    <t>4,50-4,80</t>
  </si>
  <si>
    <t>3,30-5,20</t>
  </si>
  <si>
    <t>4,10-4,76</t>
  </si>
  <si>
    <t>5,3-5,11</t>
  </si>
  <si>
    <t>3,85-4,44</t>
  </si>
  <si>
    <t>3,31-3,61</t>
  </si>
  <si>
    <t>2,85-3,40</t>
  </si>
  <si>
    <t>3,30-3,50</t>
  </si>
  <si>
    <t xml:space="preserve"> 1,26-1,89</t>
  </si>
  <si>
    <t>2,56-2,67</t>
  </si>
  <si>
    <t>2,65-3,07</t>
  </si>
  <si>
    <t>2,66-2,98</t>
  </si>
  <si>
    <t>2,20-2,30</t>
  </si>
  <si>
    <t>3,22-4,70</t>
  </si>
  <si>
    <t>4,50-5,10</t>
  </si>
  <si>
    <t>3,80-4,40</t>
  </si>
  <si>
    <t>3,10-3,90</t>
  </si>
  <si>
    <t>3,46-4,40</t>
  </si>
  <si>
    <t>4,75-5,10</t>
  </si>
  <si>
    <t>4,50-5,60</t>
  </si>
  <si>
    <t>4,30-4,80</t>
  </si>
  <si>
    <t>2,55-2,75</t>
  </si>
  <si>
    <t>3,20-4,40</t>
  </si>
  <si>
    <t>3,50-3,80</t>
  </si>
  <si>
    <t>3,50-4,24</t>
  </si>
  <si>
    <t>2,90-3,10</t>
  </si>
  <si>
    <t>1,87-2,14</t>
  </si>
  <si>
    <t>1,80-2,13м</t>
  </si>
  <si>
    <t>1,67-1,71</t>
  </si>
  <si>
    <t>3,60-3,80</t>
  </si>
  <si>
    <t>4,00-4,10</t>
  </si>
  <si>
    <t>3,70-4,20</t>
  </si>
  <si>
    <t>2,50-2,70</t>
  </si>
  <si>
    <t>4,90-6,00</t>
  </si>
  <si>
    <t>3,17-3,20</t>
  </si>
  <si>
    <t xml:space="preserve"> 3,10-4,10</t>
  </si>
  <si>
    <t>2,40-3,00</t>
  </si>
  <si>
    <t>4,35-4,90</t>
  </si>
  <si>
    <t>4,43-4,9</t>
  </si>
  <si>
    <t>2,85-2,99</t>
  </si>
  <si>
    <t>БШ х/к</t>
  </si>
  <si>
    <t>8,40-11,56/5,3</t>
  </si>
  <si>
    <t>ВУС</t>
  </si>
  <si>
    <t>ГОСТ 8734</t>
  </si>
  <si>
    <t>ГОСТ 8732</t>
  </si>
  <si>
    <t>ТУ 14-3Р-1430-07</t>
  </si>
  <si>
    <t>ТУ 14-3р-773-2007</t>
  </si>
  <si>
    <t>ГОСТ 8732 (грунт)</t>
  </si>
  <si>
    <t>ТУ 14-161-148-94</t>
  </si>
  <si>
    <t xml:space="preserve"> ТУ 14-3-1128 </t>
  </si>
  <si>
    <t>ТУ 14-3-1128-2000, ВУС изоляция</t>
  </si>
  <si>
    <t>ВГП оц.</t>
  </si>
  <si>
    <t xml:space="preserve">ГОСТ 3262 </t>
  </si>
  <si>
    <t>ГОСТ 10705</t>
  </si>
  <si>
    <t>Тип</t>
  </si>
  <si>
    <t>3,00-9,00</t>
  </si>
  <si>
    <t xml:space="preserve">HARDOX </t>
  </si>
  <si>
    <t>Strenx</t>
  </si>
  <si>
    <t>EN 10149-2</t>
  </si>
  <si>
    <t>Armox 500T</t>
  </si>
  <si>
    <t>EN 10029</t>
  </si>
  <si>
    <t>Ramor 500</t>
  </si>
  <si>
    <t>EN 10029
EN 10051</t>
  </si>
  <si>
    <t>2-30</t>
  </si>
  <si>
    <t>2-80</t>
  </si>
  <si>
    <t>1500х16000</t>
  </si>
  <si>
    <t>Ду 15</t>
  </si>
  <si>
    <t>Ду 32</t>
  </si>
  <si>
    <t>Ду32</t>
  </si>
  <si>
    <t>Ду 40</t>
  </si>
  <si>
    <t>ЭСВ оц.</t>
  </si>
  <si>
    <t>ВГП</t>
  </si>
  <si>
    <t>Ду20</t>
  </si>
  <si>
    <t>Ду25</t>
  </si>
  <si>
    <t>К50</t>
  </si>
  <si>
    <t>17Г1СУ</t>
  </si>
  <si>
    <t>К60</t>
  </si>
  <si>
    <t xml:space="preserve">ТУ 1381-037-05757848-2013 в изоляции </t>
  </si>
  <si>
    <t xml:space="preserve">ГОСТ 8732-78 </t>
  </si>
  <si>
    <t>12х1МФ</t>
  </si>
  <si>
    <t>7,00-8,00</t>
  </si>
  <si>
    <t>3,80-4,20</t>
  </si>
  <si>
    <t>7,30-10,50</t>
  </si>
  <si>
    <t>9,50-10,50</t>
  </si>
  <si>
    <t>8,50-10,00</t>
  </si>
  <si>
    <t>4,00-6,50</t>
  </si>
  <si>
    <t>8,10-8,30</t>
  </si>
  <si>
    <t>8,50-11,60</t>
  </si>
  <si>
    <t>10,55-11,38</t>
  </si>
  <si>
    <t>2,66-3,06</t>
  </si>
  <si>
    <t>5,30-6,30</t>
  </si>
  <si>
    <t>9,00-11,00</t>
  </si>
  <si>
    <t>10,20-10,70</t>
  </si>
  <si>
    <t>5,50-6,50</t>
  </si>
  <si>
    <t>8,00-10,00</t>
  </si>
  <si>
    <t>8,50-10,80</t>
  </si>
  <si>
    <t>8,00-9,00</t>
  </si>
  <si>
    <t>10,50-12,50</t>
  </si>
  <si>
    <t>11,00-11,90</t>
  </si>
  <si>
    <t>11,70-12,30</t>
  </si>
  <si>
    <t>3,40-9,00</t>
  </si>
  <si>
    <t>6,74-6,80</t>
  </si>
  <si>
    <t>9,00-10,50</t>
  </si>
  <si>
    <t>8,50-9,50</t>
  </si>
  <si>
    <t>7,50-9,00</t>
  </si>
  <si>
    <t>3,50-6,27</t>
  </si>
  <si>
    <t>10,50-11,80</t>
  </si>
  <si>
    <t>5,90-6,10</t>
  </si>
  <si>
    <t>11,70-12,20</t>
  </si>
  <si>
    <t>11,00-11,70</t>
  </si>
  <si>
    <t>11,70-11,80</t>
  </si>
  <si>
    <t>8,00-12,00</t>
  </si>
  <si>
    <t>11,70-12,00</t>
  </si>
  <si>
    <t>6,40-9,20</t>
  </si>
  <si>
    <t>9,90-11,10</t>
  </si>
  <si>
    <t>8,70-11,60</t>
  </si>
  <si>
    <t>11,60-12,40</t>
  </si>
  <si>
    <t>11,20-11,40</t>
  </si>
  <si>
    <t>9,00-12,00</t>
  </si>
  <si>
    <t>7,00-11,30</t>
  </si>
  <si>
    <t>5,50-9,90</t>
  </si>
  <si>
    <t>9,90-11,20</t>
  </si>
  <si>
    <t>11,50-11,70</t>
  </si>
  <si>
    <t>11,50-11,60</t>
  </si>
  <si>
    <t>11,50-12,20</t>
  </si>
  <si>
    <t>8,41-11,44</t>
  </si>
  <si>
    <t>8,90-11,65</t>
  </si>
  <si>
    <t>6,00-8,00</t>
  </si>
  <si>
    <t>8,05-9,60</t>
  </si>
  <si>
    <t>10,62-12,02</t>
  </si>
  <si>
    <t>17Г1СУ / К52</t>
  </si>
  <si>
    <t>10Г2ФБ / К60</t>
  </si>
  <si>
    <t>9,36-9,40</t>
  </si>
  <si>
    <t>5,70-9,10</t>
  </si>
  <si>
    <t>7,34-9,00</t>
  </si>
  <si>
    <t>6,47-6,59</t>
  </si>
  <si>
    <t>6,20-9,30</t>
  </si>
  <si>
    <t>6,40-10,00</t>
  </si>
  <si>
    <t>6,36-10,53</t>
  </si>
  <si>
    <t>8,30-8,61</t>
  </si>
  <si>
    <t>8,70-11,70</t>
  </si>
  <si>
    <t>9,06-9,16</t>
  </si>
  <si>
    <t>9,03-9,07</t>
  </si>
  <si>
    <t>7,93-11,70</t>
  </si>
  <si>
    <t>6,98-11,73</t>
  </si>
  <si>
    <t>11,94-11,92</t>
  </si>
  <si>
    <t>5,43-9,60</t>
  </si>
  <si>
    <t>8,70-9,86</t>
  </si>
  <si>
    <t>8,70-9,05</t>
  </si>
  <si>
    <t>11,30-12,50</t>
  </si>
  <si>
    <t>10,12-12,00</t>
  </si>
  <si>
    <t>ГОСТ 3262</t>
  </si>
  <si>
    <t xml:space="preserve">ГОСТ 10705 </t>
  </si>
  <si>
    <t xml:space="preserve">ГОСТ 10705 ВУС изоляция </t>
  </si>
  <si>
    <t>ГОСТ 10705 грунт</t>
  </si>
  <si>
    <t>ГОСТ 10706, ТУ 14-3-1430-87</t>
  </si>
  <si>
    <t xml:space="preserve">ТУ У 14-8-2-97 </t>
  </si>
  <si>
    <t xml:space="preserve">ГОСТ 8732 грунт </t>
  </si>
  <si>
    <t xml:space="preserve">ГОСТ 8732 с внутр.гумир. </t>
  </si>
  <si>
    <t xml:space="preserve">ГОСТ 8732 краш. </t>
  </si>
  <si>
    <t>БШ восст</t>
  </si>
  <si>
    <t>ЭСВ восст</t>
  </si>
  <si>
    <t>7-8</t>
  </si>
  <si>
    <t>9-10</t>
  </si>
  <si>
    <t>11-12</t>
  </si>
  <si>
    <t>ЭСВ (екб)</t>
  </si>
  <si>
    <t>10,20-11,90</t>
  </si>
  <si>
    <t>БШ</t>
  </si>
  <si>
    <t>ГОСТ 10704, ВУС</t>
  </si>
  <si>
    <t>ГОСТ 10704</t>
  </si>
  <si>
    <t>ГОСТ 10704, грунт</t>
  </si>
  <si>
    <t>ГОСТ 10704, ВУС ВНП</t>
  </si>
  <si>
    <t>ГОСТ 10705, ЦЦП внутр</t>
  </si>
  <si>
    <t>ГОСТ 10705, АКП</t>
  </si>
  <si>
    <t>ГОСТ 20285</t>
  </si>
  <si>
    <t>ГОСТ 10705, ВУС</t>
  </si>
  <si>
    <t>ТУ 1303-006.3-593377520-2003, ВУС</t>
  </si>
  <si>
    <t>ГОСТ 20285, наружн. АКП</t>
  </si>
  <si>
    <t>ГОСТ 10704, мытищ. (поп. шов)</t>
  </si>
  <si>
    <t>ТУ 14-156-77-2008, ВУС</t>
  </si>
  <si>
    <t>краш</t>
  </si>
  <si>
    <t>ТУ 1381-018-00186654-2009, ВУС</t>
  </si>
  <si>
    <t>ГОСТ 10706, грунт</t>
  </si>
  <si>
    <t>ГОСТ 8732, грунт</t>
  </si>
  <si>
    <t>ГОСТ 8732, краш</t>
  </si>
  <si>
    <t>ГОСТ 8732, ВУС</t>
  </si>
  <si>
    <t>0,27-0,29</t>
  </si>
  <si>
    <t>12х1мф</t>
  </si>
  <si>
    <t>20К</t>
  </si>
  <si>
    <t xml:space="preserve">15х5м </t>
  </si>
  <si>
    <t>20к</t>
  </si>
  <si>
    <t>1520х3400</t>
  </si>
  <si>
    <t>1590х2020                   1580х1620</t>
  </si>
  <si>
    <t xml:space="preserve">255х1000 </t>
  </si>
  <si>
    <t>2000х5000</t>
  </si>
  <si>
    <t>1520х5700, 1520х3080</t>
  </si>
  <si>
    <t>2040х2000</t>
  </si>
  <si>
    <t>2000х4800</t>
  </si>
  <si>
    <t xml:space="preserve"> 1560х4710      1560х4100                                                                    </t>
  </si>
  <si>
    <t>1370х4610</t>
  </si>
  <si>
    <t>500х1000</t>
  </si>
  <si>
    <t>2130х840</t>
  </si>
  <si>
    <t>1500х2200</t>
  </si>
  <si>
    <t>1500х1200</t>
  </si>
  <si>
    <t>10, 20</t>
  </si>
  <si>
    <t>09г2с</t>
  </si>
  <si>
    <t xml:space="preserve">09г2с </t>
  </si>
  <si>
    <t>ТУ 14-3-1618-89</t>
  </si>
  <si>
    <t>ТУ 1381-012-05757848-2005</t>
  </si>
  <si>
    <t xml:space="preserve">уценка </t>
  </si>
  <si>
    <t xml:space="preserve"> ТУ1430</t>
  </si>
  <si>
    <t>ТУ 14-3-1573-96</t>
  </si>
  <si>
    <t xml:space="preserve"> ТУ 1128</t>
  </si>
  <si>
    <t xml:space="preserve"> ТУ 1430 </t>
  </si>
  <si>
    <t xml:space="preserve">ТУ 1128 </t>
  </si>
  <si>
    <t>ТУ 1317</t>
  </si>
  <si>
    <t>ТУ 1319</t>
  </si>
  <si>
    <t xml:space="preserve"> ТУ 1317</t>
  </si>
  <si>
    <t>ТУ 13170, ВУС</t>
  </si>
  <si>
    <t>ТУ 1128</t>
  </si>
  <si>
    <t xml:space="preserve"> ГОСТ 10705</t>
  </si>
  <si>
    <t>ГОСТ 10705  (поп.шов)</t>
  </si>
  <si>
    <t>(поп.шов)</t>
  </si>
  <si>
    <t>ТУ 1381 ППУ ВУС</t>
  </si>
  <si>
    <t>0,39-0,52</t>
  </si>
  <si>
    <t>незн.вмят</t>
  </si>
  <si>
    <t>К48</t>
  </si>
  <si>
    <t>1,14-1,15</t>
  </si>
  <si>
    <t>10,79-11,32</t>
  </si>
  <si>
    <t>9,00-10,34</t>
  </si>
  <si>
    <t>7,47-8,36</t>
  </si>
  <si>
    <t>ТУ 4012 уценка (плены.дыры,  для свай и конструкций)</t>
  </si>
  <si>
    <t>7,65-10,57</t>
  </si>
  <si>
    <t>9,20-11,30</t>
  </si>
  <si>
    <t>0,89-2,92</t>
  </si>
  <si>
    <t>10-20</t>
  </si>
  <si>
    <t>09Г2С (К48)</t>
  </si>
  <si>
    <t>20, 09Г2С</t>
  </si>
  <si>
    <t>12ГФ</t>
  </si>
  <si>
    <t>30хн3а</t>
  </si>
  <si>
    <t>35</t>
  </si>
  <si>
    <t>30хгса</t>
  </si>
  <si>
    <t>15гс</t>
  </si>
  <si>
    <t>20Х3МВФ</t>
  </si>
  <si>
    <t xml:space="preserve">12х1мф </t>
  </si>
  <si>
    <t>15х5м</t>
  </si>
  <si>
    <t>30ХН2МФА</t>
  </si>
  <si>
    <t>15х1м1ф</t>
  </si>
  <si>
    <t xml:space="preserve">15х1м1ф </t>
  </si>
  <si>
    <t>20х2ма</t>
  </si>
  <si>
    <t xml:space="preserve">15хм </t>
  </si>
  <si>
    <t>20 / 17г1су</t>
  </si>
  <si>
    <t>D</t>
  </si>
  <si>
    <t>09г2с / 20</t>
  </si>
  <si>
    <t xml:space="preserve">15Х1М1Ф </t>
  </si>
  <si>
    <t xml:space="preserve"> 3-923-75</t>
  </si>
  <si>
    <t>15Х1М1ФШ</t>
  </si>
  <si>
    <t>P255QL</t>
  </si>
  <si>
    <t xml:space="preserve">Q460E </t>
  </si>
  <si>
    <t>17г1су /К52</t>
  </si>
  <si>
    <t>БШ нерж</t>
  </si>
  <si>
    <t>ТУ 14-3Р-197-01</t>
  </si>
  <si>
    <t>ТУ 14-3Р-55-2001</t>
  </si>
  <si>
    <t>ТУ 14-3-190-2004</t>
  </si>
  <si>
    <t>ТУ 14-3Р-251-2007</t>
  </si>
  <si>
    <t>ТУ 14-3-460-2004</t>
  </si>
  <si>
    <t>ТУ 14-3Р-51-2001</t>
  </si>
  <si>
    <t>ТУ 14-3Р-50-2001</t>
  </si>
  <si>
    <t>ТУ 14-3Р-57-2001</t>
  </si>
  <si>
    <t>ТУ 1301-039-00212179-2010</t>
  </si>
  <si>
    <t>ТУ 14-158-153-05</t>
  </si>
  <si>
    <t>ТУ 1381-018-05757848-2005.</t>
  </si>
  <si>
    <t>ГОСТ 8734-78</t>
  </si>
  <si>
    <t>ГОСТ 9941-81</t>
  </si>
  <si>
    <t>ГОСТ 23270-89</t>
  </si>
  <si>
    <t>ГОСТ Д 9940-81</t>
  </si>
  <si>
    <t xml:space="preserve">ГОСТ 8732-78/ ту 50 </t>
  </si>
  <si>
    <t>ТУ 14-3-1622</t>
  </si>
  <si>
    <t>15Х5МФБЧ</t>
  </si>
  <si>
    <t>12Х8М1Ф</t>
  </si>
  <si>
    <t>10Г2ФБЮ (К60)</t>
  </si>
  <si>
    <t>Ту 1381-012-05757848-2005</t>
  </si>
  <si>
    <t>ТУ 1381-012-05757848-2005, ВУС</t>
  </si>
  <si>
    <t>ТУ 1381-051-05757848-2011</t>
  </si>
  <si>
    <t>11,59-11,61</t>
  </si>
  <si>
    <t xml:space="preserve">ТУ 1381-012-05757848-2005 </t>
  </si>
  <si>
    <t>ТУ 1381-049-05757848-2010</t>
  </si>
  <si>
    <t>5,05-5,36</t>
  </si>
  <si>
    <t>ТУ 24.20.21.000-1573-05757848-2016</t>
  </si>
  <si>
    <t>11,49-11,96</t>
  </si>
  <si>
    <t>09Г2ФБ (К56)</t>
  </si>
  <si>
    <t>11,52-11,55</t>
  </si>
  <si>
    <t>ТУ 1381-061-00186654-2013</t>
  </si>
  <si>
    <t xml:space="preserve">13ХФА </t>
  </si>
  <si>
    <t>11,48-11,87</t>
  </si>
  <si>
    <t>11,93-12,15</t>
  </si>
  <si>
    <t>11,30-11,57</t>
  </si>
  <si>
    <t>11,01-11,25</t>
  </si>
  <si>
    <t>Гост 10706</t>
  </si>
  <si>
    <t>17Г1С (К52)</t>
  </si>
  <si>
    <t xml:space="preserve"> 09Г2С</t>
  </si>
  <si>
    <t>7.90</t>
  </si>
  <si>
    <t>7.60-7.80</t>
  </si>
  <si>
    <t>9.90-11.40</t>
  </si>
  <si>
    <t>4.50</t>
  </si>
  <si>
    <t>11.20-11.35</t>
  </si>
  <si>
    <t>11.30</t>
  </si>
  <si>
    <t>10.50-11.60</t>
  </si>
  <si>
    <t>9.70-11.30</t>
  </si>
  <si>
    <t>10.00-12.10</t>
  </si>
  <si>
    <t>7.80</t>
  </si>
  <si>
    <t>11.60</t>
  </si>
  <si>
    <t>6.48-11.40</t>
  </si>
  <si>
    <t>10.90-11.35</t>
  </si>
  <si>
    <t>11.40</t>
  </si>
  <si>
    <t>11.35-11.60</t>
  </si>
  <si>
    <t>2.60</t>
  </si>
  <si>
    <t>11.45</t>
  </si>
  <si>
    <t>11.35</t>
  </si>
  <si>
    <t>10.62</t>
  </si>
  <si>
    <t>10.36-11.55</t>
  </si>
  <si>
    <t>8.00-11.63</t>
  </si>
  <si>
    <t>10Г</t>
  </si>
  <si>
    <t>9.27-12.18</t>
  </si>
  <si>
    <t>12.00</t>
  </si>
  <si>
    <t>10.96-11.62</t>
  </si>
  <si>
    <t>11.75</t>
  </si>
  <si>
    <t>3.19</t>
  </si>
  <si>
    <t>11.60-12.00</t>
  </si>
  <si>
    <t>09Г2С (К50)</t>
  </si>
  <si>
    <t>7.48</t>
  </si>
  <si>
    <t>9.93-11.48</t>
  </si>
  <si>
    <t>11.58</t>
  </si>
  <si>
    <t>11.08-11.44</t>
  </si>
  <si>
    <t>11.20</t>
  </si>
  <si>
    <t>11.56</t>
  </si>
  <si>
    <t>13Г1С-У (К55)</t>
  </si>
  <si>
    <t>8.78</t>
  </si>
  <si>
    <t>8.15-11.61</t>
  </si>
  <si>
    <t>6.00-11.40</t>
  </si>
  <si>
    <t xml:space="preserve">17Г1С-У </t>
  </si>
  <si>
    <t>11.50</t>
  </si>
  <si>
    <t>17Г1С-У (К52)</t>
  </si>
  <si>
    <t>7.22</t>
  </si>
  <si>
    <t>ТУ 1381-037-05757848-2008</t>
  </si>
  <si>
    <t>10.58-11.35</t>
  </si>
  <si>
    <t>11.13</t>
  </si>
  <si>
    <t>11.61-11.63</t>
  </si>
  <si>
    <t>7.93</t>
  </si>
  <si>
    <t>3.05</t>
  </si>
  <si>
    <t>ТУ 1381-012-057-57848-2005</t>
  </si>
  <si>
    <t>12.00-12.15</t>
  </si>
  <si>
    <t>ЭСВ нерж</t>
  </si>
  <si>
    <t>ТУ 1381-001-37873935-2012</t>
  </si>
  <si>
    <t>1.50</t>
  </si>
  <si>
    <t>12.14-12.16</t>
  </si>
  <si>
    <t>11.68-12.15</t>
  </si>
  <si>
    <t>ТУ 1381-037-057-57848-2008</t>
  </si>
  <si>
    <t>11.61-11.75</t>
  </si>
  <si>
    <t xml:space="preserve">09Х18Н10Т </t>
  </si>
  <si>
    <t>2.50-5.00</t>
  </si>
  <si>
    <t>304L</t>
  </si>
  <si>
    <t>5.00</t>
  </si>
  <si>
    <t>4.20-5.90</t>
  </si>
  <si>
    <t>4.90-6.00</t>
  </si>
  <si>
    <t>03ХН28МД</t>
  </si>
  <si>
    <t>6.20</t>
  </si>
  <si>
    <t>10Х17Н13М2Т</t>
  </si>
  <si>
    <t>3.00</t>
  </si>
  <si>
    <t>4.20-7.10</t>
  </si>
  <si>
    <t xml:space="preserve">08Х13 </t>
  </si>
  <si>
    <t>7.50-8.00</t>
  </si>
  <si>
    <t>1.38-2.88</t>
  </si>
  <si>
    <t>6.00</t>
  </si>
  <si>
    <t>06Х15Н6МВФБ-Ш</t>
  </si>
  <si>
    <t>3.80-5.40</t>
  </si>
  <si>
    <t>3.00-6.65</t>
  </si>
  <si>
    <t>4.70-5.10</t>
  </si>
  <si>
    <t xml:space="preserve">08Х18Н10Т </t>
  </si>
  <si>
    <t>6.04-7.11</t>
  </si>
  <si>
    <t>TP904L</t>
  </si>
  <si>
    <t>5.52</t>
  </si>
  <si>
    <t>03Х12Н10МТР-ВД</t>
  </si>
  <si>
    <t>4.70-6.00</t>
  </si>
  <si>
    <t>2.40</t>
  </si>
  <si>
    <t>4.12-4.61</t>
  </si>
  <si>
    <t>5.15</t>
  </si>
  <si>
    <t>ASTM A358CL1</t>
  </si>
  <si>
    <t>6.33-6.55</t>
  </si>
  <si>
    <t>3.58</t>
  </si>
  <si>
    <t>4.59-6.92</t>
  </si>
  <si>
    <t>4.30-5.50</t>
  </si>
  <si>
    <t>3.97-4.55</t>
  </si>
  <si>
    <t>03Х17Н14М2</t>
  </si>
  <si>
    <t>5.23-11.10</t>
  </si>
  <si>
    <t>08Х13</t>
  </si>
  <si>
    <t>2.70-4.60</t>
  </si>
  <si>
    <t>3.00-6.01</t>
  </si>
  <si>
    <t>12Х13Т2</t>
  </si>
  <si>
    <t>5.83</t>
  </si>
  <si>
    <t>6.01</t>
  </si>
  <si>
    <t>1.97-6.03</t>
  </si>
  <si>
    <t>5.15-6.00</t>
  </si>
  <si>
    <t>1.88-6.00</t>
  </si>
  <si>
    <t>1.12</t>
  </si>
  <si>
    <t>2.90-9.00</t>
  </si>
  <si>
    <t>6.00-7.80</t>
  </si>
  <si>
    <t>9.30</t>
  </si>
  <si>
    <t>3.00-3.20</t>
  </si>
  <si>
    <t>9.00-9.20</t>
  </si>
  <si>
    <t>4.00-4.30</t>
  </si>
  <si>
    <t>4.70-5.80</t>
  </si>
  <si>
    <t>4.50-8.20</t>
  </si>
  <si>
    <t>4.00-5.10</t>
  </si>
  <si>
    <t>4.60-7.30</t>
  </si>
  <si>
    <t>6.80-7.40</t>
  </si>
  <si>
    <t>4.10-4.50</t>
  </si>
  <si>
    <t>5.80-9.40</t>
  </si>
  <si>
    <t>7.70-8.10</t>
  </si>
  <si>
    <t>10.10-10.30</t>
  </si>
  <si>
    <t>6.00-6.10</t>
  </si>
  <si>
    <t>7.00-8.80</t>
  </si>
  <si>
    <t>5.50-7.00</t>
  </si>
  <si>
    <t>6.00-7.00</t>
  </si>
  <si>
    <t>6.70-7.00</t>
  </si>
  <si>
    <t>6.40-6.60</t>
  </si>
  <si>
    <t>7.20-11.30</t>
  </si>
  <si>
    <t>5.20-5.40</t>
  </si>
  <si>
    <t>БШ кот</t>
  </si>
  <si>
    <t>6.00-8.60</t>
  </si>
  <si>
    <t>4.70-5.90</t>
  </si>
  <si>
    <t>4.60-6.60</t>
  </si>
  <si>
    <t>6.50</t>
  </si>
  <si>
    <t>6.50-9.90</t>
  </si>
  <si>
    <t>4.20-5.50</t>
  </si>
  <si>
    <t>10.77</t>
  </si>
  <si>
    <t>11.60-11.70</t>
  </si>
  <si>
    <t>7.33</t>
  </si>
  <si>
    <t>6.90-11.00</t>
  </si>
  <si>
    <t>7.75</t>
  </si>
  <si>
    <t>8.70-9.00</t>
  </si>
  <si>
    <t>6.95</t>
  </si>
  <si>
    <t>8.70-9.70</t>
  </si>
  <si>
    <t>10.80-11.45</t>
  </si>
  <si>
    <t>7.30</t>
  </si>
  <si>
    <t>20ХМА</t>
  </si>
  <si>
    <t>7.40</t>
  </si>
  <si>
    <t>9.80</t>
  </si>
  <si>
    <t>ТУ 14-3-1430-87</t>
  </si>
  <si>
    <t>3.65-3.70</t>
  </si>
  <si>
    <t>5.12-5.36</t>
  </si>
  <si>
    <t>10.80-11.40</t>
  </si>
  <si>
    <t>9.00-11.47</t>
  </si>
  <si>
    <t>4.20-10.50</t>
  </si>
  <si>
    <t>8.40-8.50</t>
  </si>
  <si>
    <t>9.05-11.45</t>
  </si>
  <si>
    <t>9.00-12.40</t>
  </si>
  <si>
    <t>6.82-7.40</t>
  </si>
  <si>
    <t>7.60-9.70</t>
  </si>
  <si>
    <t>4.60-5.80</t>
  </si>
  <si>
    <t>9.10-10.50</t>
  </si>
  <si>
    <t>8.60-8.95</t>
  </si>
  <si>
    <t>7.20-8.80</t>
  </si>
  <si>
    <t>10.50-11.40</t>
  </si>
  <si>
    <t>9.50-10.60</t>
  </si>
  <si>
    <t>НКТ</t>
  </si>
  <si>
    <t xml:space="preserve">С90 API 5L  </t>
  </si>
  <si>
    <t>8.90-9.60</t>
  </si>
  <si>
    <t>7.50-10.50</t>
  </si>
  <si>
    <t>8.70-8.90</t>
  </si>
  <si>
    <t>6.90-6.95</t>
  </si>
  <si>
    <t>5.58</t>
  </si>
  <si>
    <t>10.22-11.55</t>
  </si>
  <si>
    <t>ТУ 14-159-1128-2008</t>
  </si>
  <si>
    <t>11.10-11.40</t>
  </si>
  <si>
    <t>2.40-6.00</t>
  </si>
  <si>
    <t>10.13</t>
  </si>
  <si>
    <t>9.20</t>
  </si>
  <si>
    <t>T95 API 5L</t>
  </si>
  <si>
    <t>12.00-13.20</t>
  </si>
  <si>
    <t>8.18-9.06</t>
  </si>
  <si>
    <t>11.00-11.45</t>
  </si>
  <si>
    <t>ТУ 1317-233-00147016-02 А</t>
  </si>
  <si>
    <t>7.80-9.20</t>
  </si>
  <si>
    <t>7.50-9.40</t>
  </si>
  <si>
    <t>20Г2</t>
  </si>
  <si>
    <t>11.85</t>
  </si>
  <si>
    <t>8.90-9.50</t>
  </si>
  <si>
    <t>С90 API 5L</t>
  </si>
  <si>
    <t>C90T95</t>
  </si>
  <si>
    <t>7.57</t>
  </si>
  <si>
    <t>10.50-11.05</t>
  </si>
  <si>
    <t>8.70</t>
  </si>
  <si>
    <t xml:space="preserve">C90 API 5L </t>
  </si>
  <si>
    <t xml:space="preserve">T95 API 5L </t>
  </si>
  <si>
    <t>4.41-6.80</t>
  </si>
  <si>
    <t>6.15</t>
  </si>
  <si>
    <t>13.03</t>
  </si>
  <si>
    <t>6.12-6.24</t>
  </si>
  <si>
    <t>7.30-7.80</t>
  </si>
  <si>
    <t>4.30-6.40</t>
  </si>
  <si>
    <t>9.50-11.80</t>
  </si>
  <si>
    <t>7.00-8.10</t>
  </si>
  <si>
    <t>8.60-9.30</t>
  </si>
  <si>
    <t>9.50-10.00</t>
  </si>
  <si>
    <t>8.00</t>
  </si>
  <si>
    <t>2.95-4.78</t>
  </si>
  <si>
    <t>8.53</t>
  </si>
  <si>
    <t>8.60-8.68</t>
  </si>
  <si>
    <t>10.20-10.80</t>
  </si>
  <si>
    <t>10.05</t>
  </si>
  <si>
    <t>9.00-10.00</t>
  </si>
  <si>
    <t>7.45-11.60</t>
  </si>
  <si>
    <t>2.20-4.60</t>
  </si>
  <si>
    <t>9.05-10.75</t>
  </si>
  <si>
    <t>4.70-4.80</t>
  </si>
  <si>
    <t>5.20-6.05</t>
  </si>
  <si>
    <t>10.00-10.30</t>
  </si>
  <si>
    <t>10.30-10.70</t>
  </si>
  <si>
    <t>5.17</t>
  </si>
  <si>
    <t>7.82</t>
  </si>
  <si>
    <t>3.66-4.94</t>
  </si>
  <si>
    <t xml:space="preserve">20ХНМ </t>
  </si>
  <si>
    <t>5.74</t>
  </si>
  <si>
    <t>40ХГМА</t>
  </si>
  <si>
    <t>6.81-8.16</t>
  </si>
  <si>
    <t>10.10-11.60</t>
  </si>
  <si>
    <t>4.29</t>
  </si>
  <si>
    <t>8.23</t>
  </si>
  <si>
    <t>3.88</t>
  </si>
  <si>
    <t>10.00-10.90</t>
  </si>
  <si>
    <t>3.10-4.35</t>
  </si>
  <si>
    <t>1.05-3.00</t>
  </si>
  <si>
    <t>2.87-4.50</t>
  </si>
  <si>
    <t>2.78-5.07</t>
  </si>
  <si>
    <t>3.84</t>
  </si>
  <si>
    <t>5.55</t>
  </si>
  <si>
    <t>1.48-10.90</t>
  </si>
  <si>
    <t>0.48-6.45</t>
  </si>
  <si>
    <t xml:space="preserve"> L80 API 5L</t>
  </si>
  <si>
    <t>11.00-12.00</t>
  </si>
  <si>
    <t>11.36-11.45</t>
  </si>
  <si>
    <t>10.67</t>
  </si>
  <si>
    <t>10.15</t>
  </si>
  <si>
    <t>3.90</t>
  </si>
  <si>
    <t>2.05</t>
  </si>
  <si>
    <t>2.50</t>
  </si>
  <si>
    <t>3.76-3.92</t>
  </si>
  <si>
    <t xml:space="preserve">0ХН3МФА </t>
  </si>
  <si>
    <t>4.30</t>
  </si>
  <si>
    <t>1.73</t>
  </si>
  <si>
    <t>6.84-8.20</t>
  </si>
  <si>
    <t xml:space="preserve">12Х2Н3А </t>
  </si>
  <si>
    <t>1.85</t>
  </si>
  <si>
    <t>5.22</t>
  </si>
  <si>
    <t>7.14</t>
  </si>
  <si>
    <t>6.22</t>
  </si>
  <si>
    <t>ТУ 1317-006.1-593377520-2003</t>
  </si>
  <si>
    <t>11.20-11.85</t>
  </si>
  <si>
    <t>11.48</t>
  </si>
  <si>
    <t xml:space="preserve">20А </t>
  </si>
  <si>
    <t xml:space="preserve">ТУ 14-162-14-96 </t>
  </si>
  <si>
    <t>10.90-11.85</t>
  </si>
  <si>
    <t>13ХФА (К52)</t>
  </si>
  <si>
    <t>ТУ 14-3Р-124-2012</t>
  </si>
  <si>
    <t>11.64</t>
  </si>
  <si>
    <t>10.64</t>
  </si>
  <si>
    <t>9.50-10.85</t>
  </si>
  <si>
    <t>10.85</t>
  </si>
  <si>
    <t>2.77-11.46</t>
  </si>
  <si>
    <t>8.34</t>
  </si>
  <si>
    <t>6.27-9.26</t>
  </si>
  <si>
    <t>10.35-10.90</t>
  </si>
  <si>
    <t>7.98-10.80</t>
  </si>
  <si>
    <t>11.52-11.59</t>
  </si>
  <si>
    <t>ТУ 14-3-1128-2007</t>
  </si>
  <si>
    <t>11.30-11.65</t>
  </si>
  <si>
    <t>8.21-11.73</t>
  </si>
  <si>
    <t>11.74-11.75</t>
  </si>
  <si>
    <t>7.74-11.04</t>
  </si>
  <si>
    <t>1.94-4.50</t>
  </si>
  <si>
    <t>10Г2</t>
  </si>
  <si>
    <t>3.24-12.10</t>
  </si>
  <si>
    <t>0.25-2.05</t>
  </si>
  <si>
    <t>8.94-9.15</t>
  </si>
  <si>
    <t>0.63-2.58</t>
  </si>
  <si>
    <t>11.82</t>
  </si>
  <si>
    <t>9.36</t>
  </si>
  <si>
    <t>2.85-3.23</t>
  </si>
  <si>
    <t>2.51-7.20</t>
  </si>
  <si>
    <t>2.85-3.20</t>
  </si>
  <si>
    <t>1.28-1.75</t>
  </si>
  <si>
    <t>6.44</t>
  </si>
  <si>
    <t>ТУ 1319-1128-00186654-2012</t>
  </si>
  <si>
    <t>8.16-11.34</t>
  </si>
  <si>
    <t>9.52</t>
  </si>
  <si>
    <t>7.38</t>
  </si>
  <si>
    <t>ТУ 14-162-14-96</t>
  </si>
  <si>
    <t>8.09</t>
  </si>
  <si>
    <t>9.13-11.46</t>
  </si>
  <si>
    <t>11.28</t>
  </si>
  <si>
    <t>ТУ 1317-233-00147016-02</t>
  </si>
  <si>
    <t>8.40</t>
  </si>
  <si>
    <t>8.39-8.86</t>
  </si>
  <si>
    <t>11.22-11.33</t>
  </si>
  <si>
    <t>5.38-7.62</t>
  </si>
  <si>
    <t>3.00-7.65</t>
  </si>
  <si>
    <t>8.73-10.81</t>
  </si>
  <si>
    <t>7.21-11.26</t>
  </si>
  <si>
    <t>10.00-11.43</t>
  </si>
  <si>
    <t>10.96-12.34</t>
  </si>
  <si>
    <t>ТУ 1319-1128-2012</t>
  </si>
  <si>
    <t>8.46-9.95</t>
  </si>
  <si>
    <t>9.10-11.35</t>
  </si>
  <si>
    <t>9.43</t>
  </si>
  <si>
    <t>10.00-11.38</t>
  </si>
  <si>
    <t>7.50</t>
  </si>
  <si>
    <t>11.45-11.90</t>
  </si>
  <si>
    <t>11.33</t>
  </si>
  <si>
    <t>ТУ 1317-006,593377520-2003</t>
  </si>
  <si>
    <t>10.60-11.75</t>
  </si>
  <si>
    <t>12Х2М</t>
  </si>
  <si>
    <t>5.78-6.00</t>
  </si>
  <si>
    <t>11.84-12.00</t>
  </si>
  <si>
    <t>11.24</t>
  </si>
  <si>
    <t>6.74-6.80</t>
  </si>
  <si>
    <t>9.66</t>
  </si>
  <si>
    <t>8.75-10.82</t>
  </si>
  <si>
    <t>11.50-11.62</t>
  </si>
  <si>
    <t>8.10-8.50</t>
  </si>
  <si>
    <t>8.50</t>
  </si>
  <si>
    <t>4.97-8.00</t>
  </si>
  <si>
    <t>С110 API 5L</t>
  </si>
  <si>
    <t>12.00-13.00</t>
  </si>
  <si>
    <t>10.53-11.05</t>
  </si>
  <si>
    <t>2.75-6.95</t>
  </si>
  <si>
    <t>1.60-2.82</t>
  </si>
  <si>
    <t>9.85</t>
  </si>
  <si>
    <t>1.71</t>
  </si>
  <si>
    <t>8.85</t>
  </si>
  <si>
    <t>11.07</t>
  </si>
  <si>
    <t>10.38-10.63</t>
  </si>
  <si>
    <t>1.02-5.08</t>
  </si>
  <si>
    <t>ТУ 14-3р-1128-2007</t>
  </si>
  <si>
    <t>11.29-11.50</t>
  </si>
  <si>
    <t>8.90</t>
  </si>
  <si>
    <t>9.60</t>
  </si>
  <si>
    <t>4.20-5.07</t>
  </si>
  <si>
    <t>5.37</t>
  </si>
  <si>
    <t>7.50-10.17</t>
  </si>
  <si>
    <t>10.72</t>
  </si>
  <si>
    <t>8.75</t>
  </si>
  <si>
    <t>7.53-10.57</t>
  </si>
  <si>
    <t>6.13-9.54</t>
  </si>
  <si>
    <t>6.50-10.04</t>
  </si>
  <si>
    <t>10.95</t>
  </si>
  <si>
    <t>8.32-10.65</t>
  </si>
  <si>
    <t>10.59</t>
  </si>
  <si>
    <t>6.55</t>
  </si>
  <si>
    <t>10.62-11.10</t>
  </si>
  <si>
    <t>ТУ14-3р-50-2001</t>
  </si>
  <si>
    <t>7.62-10.00</t>
  </si>
  <si>
    <t>7.23-7.62</t>
  </si>
  <si>
    <t>5.80</t>
  </si>
  <si>
    <t>5.00-5.35</t>
  </si>
  <si>
    <t>2.27-6.81</t>
  </si>
  <si>
    <t>3.90-5.60</t>
  </si>
  <si>
    <t>3.50-3.58</t>
  </si>
  <si>
    <t>Grade 6</t>
  </si>
  <si>
    <t>ГОСТ А333</t>
  </si>
  <si>
    <t>7.71-11.90</t>
  </si>
  <si>
    <t>5.70-6.40</t>
  </si>
  <si>
    <t>3.50-8.50</t>
  </si>
  <si>
    <t>20ПВ</t>
  </si>
  <si>
    <t>6.90-7.00</t>
  </si>
  <si>
    <t>8.07-9.30</t>
  </si>
  <si>
    <t>4.60-5.50</t>
  </si>
  <si>
    <t>6.90-7.10</t>
  </si>
  <si>
    <t>7.00-11.00</t>
  </si>
  <si>
    <t>8.40-9.70</t>
  </si>
  <si>
    <t>8.56</t>
  </si>
  <si>
    <t>7.00-9.50</t>
  </si>
  <si>
    <t>6.50-10.00</t>
  </si>
  <si>
    <t>5.20-5.50</t>
  </si>
  <si>
    <t>5.50-6.70</t>
  </si>
  <si>
    <t>11.00-11.80</t>
  </si>
  <si>
    <t>4.70-7.50</t>
  </si>
  <si>
    <t>4.30-9.50</t>
  </si>
  <si>
    <t>7.60</t>
  </si>
  <si>
    <t>3.40-4.90</t>
  </si>
  <si>
    <t>5.00-6.00</t>
  </si>
  <si>
    <t>11.00-11.70</t>
  </si>
  <si>
    <t>5.10-8.50</t>
  </si>
  <si>
    <t>3.00-6.50</t>
  </si>
  <si>
    <t>6.70-10.00</t>
  </si>
  <si>
    <t>4.80-6.20</t>
  </si>
  <si>
    <t>4.00-6.50</t>
  </si>
  <si>
    <t>7.80-7.90</t>
  </si>
  <si>
    <t>4.20-6.80</t>
  </si>
  <si>
    <t>5.66-5.72</t>
  </si>
  <si>
    <t>4.74-5.25</t>
  </si>
  <si>
    <t>4.50-7.42</t>
  </si>
  <si>
    <t>3.04-5.95</t>
  </si>
  <si>
    <t>ТУ 14-3-55-2001</t>
  </si>
  <si>
    <t>5.50-6.51</t>
  </si>
  <si>
    <t>4.90</t>
  </si>
  <si>
    <t>6.10-6.16</t>
  </si>
  <si>
    <t>5.88-8.83</t>
  </si>
  <si>
    <t>4.84</t>
  </si>
  <si>
    <t>3.53-7.06</t>
  </si>
  <si>
    <t>10Х9МФБ</t>
  </si>
  <si>
    <t>8.17</t>
  </si>
  <si>
    <t>4.52-4.62</t>
  </si>
  <si>
    <t>5.84</t>
  </si>
  <si>
    <t>5.44-6.24</t>
  </si>
  <si>
    <t>9.30-9.65</t>
  </si>
  <si>
    <t>4.03</t>
  </si>
  <si>
    <t>3.87</t>
  </si>
  <si>
    <t>ТУ 14-3р-460-75</t>
  </si>
  <si>
    <t>3.92-5.98</t>
  </si>
  <si>
    <t>4.81-6.82</t>
  </si>
  <si>
    <t>6.05-6.90</t>
  </si>
  <si>
    <t>6.24-6.86</t>
  </si>
  <si>
    <t>4.63-5.86</t>
  </si>
  <si>
    <t xml:space="preserve"> ТУ 14-3-190-2004</t>
  </si>
  <si>
    <t>7.68-10.10</t>
  </si>
  <si>
    <t>10.84-10.90</t>
  </si>
  <si>
    <t>5.10-8.18</t>
  </si>
  <si>
    <t>5.65-9.18</t>
  </si>
  <si>
    <t>9.28</t>
  </si>
  <si>
    <t>5.61</t>
  </si>
  <si>
    <t>6.94</t>
  </si>
  <si>
    <t>7.24-7.43</t>
  </si>
  <si>
    <t>4.00-8.00</t>
  </si>
  <si>
    <t>1.81-2.42</t>
  </si>
  <si>
    <t>7.97</t>
  </si>
  <si>
    <t>4.38-6.86</t>
  </si>
  <si>
    <t xml:space="preserve"> ТУ 1301-039-00212179-2010</t>
  </si>
  <si>
    <t>4.06-5.10</t>
  </si>
  <si>
    <t xml:space="preserve"> ТУ 14-3р-190-82</t>
  </si>
  <si>
    <t>6.40-7.67</t>
  </si>
  <si>
    <t>8.88</t>
  </si>
  <si>
    <t>4.70</t>
  </si>
  <si>
    <t>7.15-7.18</t>
  </si>
  <si>
    <t>8.80</t>
  </si>
  <si>
    <t>1.95-2.50</t>
  </si>
  <si>
    <t>4.31-4.64</t>
  </si>
  <si>
    <t>1.94-1.98</t>
  </si>
  <si>
    <t>2.76</t>
  </si>
  <si>
    <t>6.37-6.60</t>
  </si>
  <si>
    <t>6.38</t>
  </si>
  <si>
    <t xml:space="preserve">10Х9МФБ-Ш </t>
  </si>
  <si>
    <t>0.96</t>
  </si>
  <si>
    <t>ТУ 14-3р-190-82</t>
  </si>
  <si>
    <t>7.98-8.40</t>
  </si>
  <si>
    <t>2.90</t>
  </si>
  <si>
    <t>6.90</t>
  </si>
  <si>
    <t>6.77-8.41</t>
  </si>
  <si>
    <t>6.60-7.24</t>
  </si>
  <si>
    <t>0.46-2.32</t>
  </si>
  <si>
    <t>6.46</t>
  </si>
  <si>
    <t>5.25-7.96</t>
  </si>
  <si>
    <t>5.42</t>
  </si>
  <si>
    <t>3.30</t>
  </si>
  <si>
    <t>3.70-4.77</t>
  </si>
  <si>
    <t>7.84-8.50</t>
  </si>
  <si>
    <t>5.55-7.89</t>
  </si>
  <si>
    <t>3.14</t>
  </si>
  <si>
    <t>15ГСШ</t>
  </si>
  <si>
    <t>2.13-5.30</t>
  </si>
  <si>
    <t>1.06-1.69</t>
  </si>
  <si>
    <t>2.20</t>
  </si>
  <si>
    <t>0.96-1.96</t>
  </si>
  <si>
    <t>16ГСШ</t>
  </si>
  <si>
    <t>5.41</t>
  </si>
  <si>
    <t>6.64</t>
  </si>
  <si>
    <t xml:space="preserve"> ТУ14-3-190-2004</t>
  </si>
  <si>
    <t>9.62-10.23</t>
  </si>
  <si>
    <t>5.98</t>
  </si>
  <si>
    <t xml:space="preserve"> ТУ 14-3р-62-2002</t>
  </si>
  <si>
    <t>9.94</t>
  </si>
  <si>
    <t>10.10</t>
  </si>
  <si>
    <t>5.78</t>
  </si>
  <si>
    <t>3.89</t>
  </si>
  <si>
    <t>2.03-4.06</t>
  </si>
  <si>
    <t>4.00-4.01</t>
  </si>
  <si>
    <t>3.30-3.40</t>
  </si>
  <si>
    <t>7.58-10.33</t>
  </si>
  <si>
    <t>0.20</t>
  </si>
  <si>
    <t>3.26</t>
  </si>
  <si>
    <t>3.96</t>
  </si>
  <si>
    <t>5.10-5.11</t>
  </si>
  <si>
    <t>5.00-5.02</t>
  </si>
  <si>
    <t>4.00</t>
  </si>
  <si>
    <t>2.47</t>
  </si>
  <si>
    <t>4.57-4.66</t>
  </si>
  <si>
    <t xml:space="preserve">15ГСШ </t>
  </si>
  <si>
    <t>1.21-2.92</t>
  </si>
  <si>
    <t>16ГС</t>
  </si>
  <si>
    <t>15Х1М1Ф-Ш</t>
  </si>
  <si>
    <t>2.10-4.37</t>
  </si>
  <si>
    <t>1.39-1.68</t>
  </si>
  <si>
    <t>1.37-1.44</t>
  </si>
  <si>
    <t>1.58-1.66</t>
  </si>
  <si>
    <t>2.04</t>
  </si>
  <si>
    <t>1.90</t>
  </si>
  <si>
    <t>БШ (екб)</t>
  </si>
  <si>
    <t>ОБСАД</t>
  </si>
  <si>
    <t>Фундаментный болт</t>
  </si>
  <si>
    <t>Шпилька</t>
  </si>
  <si>
    <t>4.1</t>
  </si>
  <si>
    <t>6.1</t>
  </si>
  <si>
    <t>6.3</t>
  </si>
  <si>
    <t>5.5</t>
  </si>
  <si>
    <t xml:space="preserve">Закладные изделия </t>
  </si>
  <si>
    <t>МН серия 1.400-15 выпуск 0 и выпуск 1</t>
  </si>
  <si>
    <t xml:space="preserve">Анкерные фундаментные блоки </t>
  </si>
  <si>
    <t>АБ, АГ, БФ, ФБ, БФБ</t>
  </si>
  <si>
    <t>Обечайки, конуса, вальцовка металла</t>
  </si>
  <si>
    <t>Опоры трубопроводов</t>
  </si>
  <si>
    <t>Сальники, стаканы</t>
  </si>
  <si>
    <t>Гнутый швеллер, гибка металла</t>
  </si>
  <si>
    <t>Токарные, фрезерные работы</t>
  </si>
  <si>
    <t>Плазменная резка и рубка листа</t>
  </si>
  <si>
    <t>Резьбовая</t>
  </si>
  <si>
    <t>Болт срезной для плуга</t>
  </si>
  <si>
    <t>Болты U-образные (хомуты)</t>
  </si>
  <si>
    <t>Борона зубовая для обработки почвы</t>
  </si>
  <si>
    <t>Шарниры</t>
  </si>
  <si>
    <t>Гайки</t>
  </si>
  <si>
    <t>по чертежам</t>
  </si>
  <si>
    <t>до М48</t>
  </si>
  <si>
    <t>свыше М48</t>
  </si>
  <si>
    <t>ГОСТ 10605-94</t>
  </si>
  <si>
    <t xml:space="preserve">ГОСТ 5915-70 </t>
  </si>
  <si>
    <t>общемашиностроительного</t>
  </si>
  <si>
    <t xml:space="preserve">ГОСТ 9064-75 </t>
  </si>
  <si>
    <t xml:space="preserve">для фланцевых соединений </t>
  </si>
  <si>
    <t>М14*90</t>
  </si>
  <si>
    <t xml:space="preserve"> с термообработкой</t>
  </si>
  <si>
    <t>Тело болта без резьбы Ø15, длина резьбовой части - 20 мм. 
Размер под ключ – 17 мм. или 19 мм. (по согласованию с заказчиком)</t>
  </si>
  <si>
    <t>Изготовление срезных болтов (пальцев) по чертежам заказчика</t>
  </si>
  <si>
    <t>Хомуты</t>
  </si>
  <si>
    <t>ГОСТ 24138-80</t>
  </si>
  <si>
    <t>ГОСТ 24137-80</t>
  </si>
  <si>
    <t>ГОСТ 23118-2012</t>
  </si>
  <si>
    <t>СП 53-101-98</t>
  </si>
  <si>
    <t>Колонны / Балки / Фермы / Фахверки / Подкрановые конструкции / Ригели / Связи / Прогоны / Закладные изделия.</t>
  </si>
  <si>
    <t>Конструкции стальные строительные. Общие технические условия</t>
  </si>
  <si>
    <t>Изготовление и контроль качества стальных строительных конструкций</t>
  </si>
  <si>
    <t>ГОСТ 9066-75 / ОСТ 26-2040-96 / ГОСТ 22032-76 / 
ГОСТ 22033-76 / ГОСТ 22034-76 / ГОСТ 22035-76 /
ГОСТ 22036-76 / ГОСТ 22037-76 / ГОСТ 22038-76 /
ГОСТ 22039-76 / ГОСТ 22040-76 / ГОСТ 22041-76 /
ГОСТ 22042-76 / ГОСТ 22043-76/</t>
  </si>
  <si>
    <t>МН 101-МН 104 / МН105-МН116 / МН117-МН126 / МН127-МН132 / МН133-МН145 / МН146-МН151 / 
МН152-МН162 / МН163-МН164 / МН201-МН209 / 
МН210-МН217 / МН223-МН228 / МН301-МН305 / 
МН306-МН311 / МН312-МН313 / МН314-МН317 / 
МН318-МН321 / МН322-МН323 / МН401-МН404 / 
МН405-МН413 / МН414-МН418 / МН501-МН516 /
МН517-МН538 / МН523-МН534 / МН539-МН548 / 
МН558-МН565 / МН566-МН577 / МН601-МН617 /
МН701-МН725 / МН726-МН775 / МН776-МН795 /</t>
  </si>
  <si>
    <t>МЕТАЛЛОКОНСТРУКЦИИ и СОЕДИНИТЕЛЬНЫЕ ДЕТАЛИ</t>
  </si>
  <si>
    <t>Заглушка   219х10 ст 09Г2С ГОСТ 17379-2001, шт</t>
  </si>
  <si>
    <t>Заглушка   219х11 ст 09Г2С ГОСТ 17379-2001, шт</t>
  </si>
  <si>
    <t>Заглушка   219х12 ст 09Г2С ГОСТ 17379-2001, шт</t>
  </si>
  <si>
    <t>Заглушка   219х12 ст 20 ГОСТ 17379-2001, шт</t>
  </si>
  <si>
    <t>Заглушка   219х13 ст 09Г2С ГОСТ 17379-2001, шт</t>
  </si>
  <si>
    <t>Заглушка   219х13 ст 20 ГОСТ 17379-2001, шт</t>
  </si>
  <si>
    <t>Заглушка   219х14 ст 09Г2С ГОСТ 17379-2001, шт</t>
  </si>
  <si>
    <t>Заглушка   219х14 ст 20 ГОСТ 17379-2001, шт</t>
  </si>
  <si>
    <t>Заглушка   273х10 ст 09Г2С ГОСТ 17379-2001, шт</t>
  </si>
  <si>
    <t>Заглушка   273х12 ст 09Г2С ГОСТ 17379-2001, шт</t>
  </si>
  <si>
    <t>Заглушка   273х12 ст 20 ГОСТ 17379-2001, шт</t>
  </si>
  <si>
    <t>Заглушка   325х 8 ст 20 ГОСТ 17379-2001, шт</t>
  </si>
  <si>
    <t>Заглушка   325х 9 ст 20 ГОСТ 17379-2001, шт</t>
  </si>
  <si>
    <t>Заглушка   325х10 ст 09Г2С ГОСТ 17379-2001, шт</t>
  </si>
  <si>
    <t>Заглушка   325х10 ст 20 ГОСТ 17379-2001, шт</t>
  </si>
  <si>
    <t>Заглушка   325х11 ст 09Г2С ГОСТ 17379-2001, шт</t>
  </si>
  <si>
    <t>Заглушка   325х11 ст 20 ГОСТ 17379-2001, шт</t>
  </si>
  <si>
    <t>Заглушка   325х12 ст 20 ГОСТ 17379-2001, шт</t>
  </si>
  <si>
    <t>Заглушка   325х13 ст 09Г2С ГОСТ 17379-2001, шт</t>
  </si>
  <si>
    <t>Заглушка   325х13 ст 20 ГОСТ 17379-2001, шт</t>
  </si>
  <si>
    <t>Заглушка   325х16 ст 09Г2С ГОСТ 17379-2001, шт</t>
  </si>
  <si>
    <t>Заглушка   325х16 ст 20 ГОСТ 17379-2001, шт</t>
  </si>
  <si>
    <t>Заглушка   325х20 ст 09Г2С ГОСТ 17379-2001, шт</t>
  </si>
  <si>
    <t>Заглушка   377х  8 ст 20 ГОСТ 17379-2001, шт</t>
  </si>
  <si>
    <t>Заглушка   377х 10 ст 20 ГОСТ 17379-2001, шт</t>
  </si>
  <si>
    <t>Заглушка   377х 12 ст 09Г2С ГОСТ 17379-2001, шт</t>
  </si>
  <si>
    <t>Заглушка   377х 12 ст 20 ГОСТ 17379-2001, шт</t>
  </si>
  <si>
    <t>Заглушка   377х 14 ст 20 ГОСТ 17379-2001, шт</t>
  </si>
  <si>
    <t>Заглушка   426х 12 ст 09Г2С ГОСТ 17379-2001, шт</t>
  </si>
  <si>
    <t>Заглушка   426х 12 ст 20 ГОСТ 17379-2001, шт</t>
  </si>
  <si>
    <t>Заглушка   426х 14 ст 20 ГОСТ 17379-2001, шт</t>
  </si>
  <si>
    <t>Заглушка   426х 16 ст 20 ГОСТ 17379-2001, шт</t>
  </si>
  <si>
    <t>Заглушка   426х 20 ст 20 ГОСТ 17379-2001, шт</t>
  </si>
  <si>
    <t>Заглушка   630х16 ст 20 ГОСТ 17379-2001, шт</t>
  </si>
  <si>
    <t>Заглушка   820х 12 ст 09г2с ГОСТ 17379-2001, шт</t>
  </si>
  <si>
    <t>Заглушка   820х 16 ст 20 ГОСТ 17379-2001, шт</t>
  </si>
  <si>
    <t>Заглушка   820х 18 ст 20 ГОСТ 17379-2001, шт</t>
  </si>
  <si>
    <t>Заглушка  1020 ст 20 ГОСТ 17379-2001, шт</t>
  </si>
  <si>
    <t>Заглушка  1020х20 ст 20 ГОСТ 17379-2001, шт</t>
  </si>
  <si>
    <t>Заглушка  1220х20 ст 09Г2С ГОСТ 17379-2001, шт</t>
  </si>
  <si>
    <t>Заглушка фл  200-10, шт</t>
  </si>
  <si>
    <t>Заглушка фл 2-80-1,6 ст 09Г2С АТК 24.200.02-90, шт</t>
  </si>
  <si>
    <t>Заглушка фл АТК  250 Ру 6 ст 12х18н10т, шт</t>
  </si>
  <si>
    <t>Заглушка фл АТК  300 Ру16 ст 20, шт</t>
  </si>
  <si>
    <t>Заглушка фл АТК  350 Ру10 ст 12х18н10т, шт</t>
  </si>
  <si>
    <t>Заглушка фл АТК  600 Ру16, шт</t>
  </si>
  <si>
    <t>Заглушка фл П4-100-16,0 ст20 АТК 24.200.02-90, шт</t>
  </si>
  <si>
    <t>Заглушка эллиптическая  114х14,0 ст 20 ГОСТ 17379-2001, шт</t>
  </si>
  <si>
    <t>Заглушка эллиптическая  159х14,0 ст 20 ГОСТ 17379-2001, шт</t>
  </si>
  <si>
    <t>Заготовка заглушки 219х 8 ст09Г2С ГОСТ 17379-2001, шт</t>
  </si>
  <si>
    <t>Заготовка заглушки 219х 8 ст20 ГОСТ 17379-2001, шт</t>
  </si>
  <si>
    <t>Заготовка заглушки 219х10 ст09Г2С ГОСТ 17379-2001, шт</t>
  </si>
  <si>
    <t>Заготовка заглушки 219х10 ст20 ГОСТ 17379-2001, шт</t>
  </si>
  <si>
    <t>Заготовка заглушки 219х12 ст20 ГОСТ 17379-2001, шт</t>
  </si>
  <si>
    <t>Заготовка заглушки 273х 8 ст20 ГОСТ 17379-2001, шт</t>
  </si>
  <si>
    <t>Заготовка заглушки 273х10 ст09Г2С ГОСТ 17379-2001, шт</t>
  </si>
  <si>
    <t>Заготовка заглушки 273х10 ст20 ГОСТ 17379-2001, шт</t>
  </si>
  <si>
    <t>Заготовка заглушки 273х12 ст09Г2С ГОСТ 17379-2001, шт</t>
  </si>
  <si>
    <t>Заготовка заглушки 273х12 ст20 ГОСТ 17379-2001, шт</t>
  </si>
  <si>
    <t>Заготовка заглушки 325х 8 ст20 ГОСТ 17379-2001, шт</t>
  </si>
  <si>
    <t>Заготовка заглушки 325х10 ст09Г2С ГОСТ 17379-2001, шт</t>
  </si>
  <si>
    <t>Заготовка заглушки 325х12 ст09Г2С ГОСТ 17379-2001, шт</t>
  </si>
  <si>
    <t>Заготовка заглушки 325х12 ст20 ГОСТ 17379-2001, шт</t>
  </si>
  <si>
    <t>Заготовка заглушки 377х10 ст09Г2С ГОСТ 17379-2001, шт</t>
  </si>
  <si>
    <t>Заготовка заглушки 377х10 ст20 ГОСТ 17379-2001, шт</t>
  </si>
  <si>
    <t>Заготовка заглушки 377х12 ст09Г2С ГОСТ 17379-2001, шт</t>
  </si>
  <si>
    <t>Заготовка заглушки 377х12 ст20 ГОСТ 17379-2001, шт</t>
  </si>
  <si>
    <t>Заготовка под отвод 88,9х14,2 ст 20, шт</t>
  </si>
  <si>
    <t>Заготовка фланца Ду  100 Ру 40, шт</t>
  </si>
  <si>
    <t>Заготовка фланца Ду  80 Ру 40, шт</t>
  </si>
  <si>
    <t>Задвижка 30лс15нж Ду 50 Ру 40, шт</t>
  </si>
  <si>
    <t>Задвижка 30лс15нж Ду250 Ру 40, шт</t>
  </si>
  <si>
    <t>Задвижка 30лс15нж Ду250 Ру 40(D+C), шт</t>
  </si>
  <si>
    <t>Задвижка 30лс15нж Ду300 Ру 40, шт</t>
  </si>
  <si>
    <t>Задвижка 30лс41нж Ду 50, шт</t>
  </si>
  <si>
    <t>Задвижка 30лс41нж Ду100, шт</t>
  </si>
  <si>
    <t>Задвижка 30лс41нж Ду150, шт</t>
  </si>
  <si>
    <t>Задвижка 30лс41нж Ду250, шт</t>
  </si>
  <si>
    <t>Задвижка 30лс41нж Ду300 , шт</t>
  </si>
  <si>
    <t>Задвижка 30лс41нж Ду400 Ру16, шт</t>
  </si>
  <si>
    <t>Задвижка 30лс515нж Ду 400 Ру40, шт</t>
  </si>
  <si>
    <t>Задвижка 30лс515нж Ду 500 Ру40, шт</t>
  </si>
  <si>
    <t>Задвижка 30лс541нж Ду400 , шт</t>
  </si>
  <si>
    <t>Задвижка 30лс64нж Ду300 Ру 25, шт</t>
  </si>
  <si>
    <t>Задвижка 30лс941нж Ду200, шт</t>
  </si>
  <si>
    <t>Задвижка 30лс941нж Ду350 Ру16, шт</t>
  </si>
  <si>
    <t>Задвижка 30лс941нж Ду400 Ру16, шт</t>
  </si>
  <si>
    <t>Задвижка 30лс941нж Ду500 Ру 16, шт</t>
  </si>
  <si>
    <t>Задвижка 30лс941нж Ду80 с КОФ, шт</t>
  </si>
  <si>
    <t>Задвижка 30лс964нж Ду 100 Ру25, шт</t>
  </si>
  <si>
    <t>Задвижка 30лс964нж Ду 300 Ру25, шт</t>
  </si>
  <si>
    <t>Задвижка 30нж41нж Ду 50, шт</t>
  </si>
  <si>
    <t>Задвижка 30нж41нж Ду100, шт</t>
  </si>
  <si>
    <t>Задвижка 30нж41нж Ду400/300, шт</t>
  </si>
  <si>
    <t>Задвижка 30нж76нж Ду 80, шт</t>
  </si>
  <si>
    <t>Задвижка 30нж915нж Ду300, шт</t>
  </si>
  <si>
    <t>Задвижка 30нж941нж Ду400, шт</t>
  </si>
  <si>
    <t>Задвижка 30с15нж Ду 50 Ру 40, шт</t>
  </si>
  <si>
    <t>Задвижка 30с15нж Ду 80, шт</t>
  </si>
  <si>
    <t>Задвижка 30с15нж Ду100, шт</t>
  </si>
  <si>
    <t>Задвижка 30с15нж Ду100 с КОФ, шт</t>
  </si>
  <si>
    <t>Задвижка 30с15нж Ду150, шт</t>
  </si>
  <si>
    <t>Задвижка 30с15нж Ду200, шт</t>
  </si>
  <si>
    <t>Задвижка 30с15нж Ду250, шт</t>
  </si>
  <si>
    <t>Задвижка 30с15нж Ду300 Ру40 , шт</t>
  </si>
  <si>
    <t>Задвижка 30с41нж Ду 50 Россия, шт</t>
  </si>
  <si>
    <t>Задвижка 30с41нж Ду 50 с КОФ, шт</t>
  </si>
  <si>
    <t>Задвижка 30с41нж Ду 80 Ру 16, шт</t>
  </si>
  <si>
    <t>Задвижка 30с41нж Ду 80 с КОФ, шт</t>
  </si>
  <si>
    <t>Задвижка 30с41нж Ду100, шт</t>
  </si>
  <si>
    <t>Задвижка 30с41нж Ду100 Муром, шт</t>
  </si>
  <si>
    <t>Задвижка 30с41нж Ду100 Ру 16 с КОФ, шт</t>
  </si>
  <si>
    <t>Задвижка 30с41нж Ду150, шт</t>
  </si>
  <si>
    <t>Задвижка 30с41нж Ду200, шт</t>
  </si>
  <si>
    <t>Задвижка 30с41нж Ду200 с КОФ, шт</t>
  </si>
  <si>
    <t>Задвижка 30с41нж Ду250, шт</t>
  </si>
  <si>
    <t>Задвижка 30с41нж Ду250 с КОФ, шт</t>
  </si>
  <si>
    <t>Задвижка 30с41нж Ду300, шт</t>
  </si>
  <si>
    <t>Задвижка 30с41нж Ду400, шт</t>
  </si>
  <si>
    <t>Задвижка 30с41нж Ду500, шт</t>
  </si>
  <si>
    <t>Задвижка 30с41нж Ду600, шт</t>
  </si>
  <si>
    <t>Задвижка 30с515нж Ду100 Ру 40, шт</t>
  </si>
  <si>
    <t>Задвижка 30с515нж Ду500 Ру 40, шт</t>
  </si>
  <si>
    <t>Задвижка 30с527нж Ду400 с КОФ, шт</t>
  </si>
  <si>
    <t>Задвижка 30с541нж Ду1000 Ру16 с КОФ, шт</t>
  </si>
  <si>
    <t>Задвижка 30с541нж Ду400 Ру 16, шт</t>
  </si>
  <si>
    <t>Задвижка 30с541нж Ду500, шт</t>
  </si>
  <si>
    <t>Задвижка 30с541нж Ду600, шт</t>
  </si>
  <si>
    <t>Задвижка 30с564нж Ду400 Ру 25, шт</t>
  </si>
  <si>
    <t>Задвижка 30с564нж Ду500 Ру 25, шт</t>
  </si>
  <si>
    <t>Задвижка 30с576нж Ду250, шт</t>
  </si>
  <si>
    <t>Задвижка 30с576нж Ду500 Ру 63, шт</t>
  </si>
  <si>
    <t>Задвижка 30с64нж Ду 80, шт</t>
  </si>
  <si>
    <t>Задвижка 30с64нж Ду100, шт</t>
  </si>
  <si>
    <t>Задвижка 30с64нж Ду150, шт</t>
  </si>
  <si>
    <t>Задвижка 30с64нж Ду200, шт</t>
  </si>
  <si>
    <t>Задвижка 30с64нж Ду250, шт</t>
  </si>
  <si>
    <t>Задвижка 30с64нж Ду300, шт</t>
  </si>
  <si>
    <t>Задвижка 30с76нж Ду 50 Ру 63, шт</t>
  </si>
  <si>
    <t>Задвижка 30с76нж Ду 50 Ру 64, шт</t>
  </si>
  <si>
    <t>Задвижка 30с76нж Ду 50 с КОФ, шт</t>
  </si>
  <si>
    <t>Задвижка 30с76нж Ду 80, шт</t>
  </si>
  <si>
    <t>Задвижка 30с76нж Ду100, шт</t>
  </si>
  <si>
    <t>Задвижка 30с76нж Ду150, шт</t>
  </si>
  <si>
    <t>Задвижка 30с76нж Ду250, шт</t>
  </si>
  <si>
    <t>Задвижка 30с76нж Ду300, шт</t>
  </si>
  <si>
    <t>Задвижка 30с76нж Ду300 РУ 63 с КОФ, шт</t>
  </si>
  <si>
    <t>Задвижка 30с76нж Ду400 Ру 63, шт</t>
  </si>
  <si>
    <t>Задвижка 30с915нж Ду 80, шт</t>
  </si>
  <si>
    <t>Задвижка 30с915нж Ду250, шт</t>
  </si>
  <si>
    <t>Задвижка 30с915нж Ду300 Ру 40, шт</t>
  </si>
  <si>
    <t>Задвижка 30с915нж Ду350, шт</t>
  </si>
  <si>
    <t>Задвижка 30с915нж Ду500, шт</t>
  </si>
  <si>
    <t>Задвижка 30с927нж Ду300, шт</t>
  </si>
  <si>
    <t>Задвижка 30с927нж Ду500 Ру 25, шт</t>
  </si>
  <si>
    <t>Задвижка 30с927нж Ду600, шт</t>
  </si>
  <si>
    <t>Задвижка 30с927нж Ду800, шт</t>
  </si>
  <si>
    <t>Задвижка 30с927нж Ду800 Ру 25 с КОФ, шт</t>
  </si>
  <si>
    <t>Задвижка 30с941нж Ду 150 с КОФ с э/п, шт</t>
  </si>
  <si>
    <t>Задвижка 30с941нж Ду 300 Ру 16, шт</t>
  </si>
  <si>
    <t>Задвижка 30с941нж Ду 350, шт</t>
  </si>
  <si>
    <t>Задвижка 30с941нж Ду 400, шт</t>
  </si>
  <si>
    <t>Задвижка 30с941нж Ду 400 Ру 16, шт</t>
  </si>
  <si>
    <t>Задвижка 30с941нж Ду 500 Ру 16, шт</t>
  </si>
  <si>
    <t>Задвижка 30с941нж Ду 600 ру 16, шт</t>
  </si>
  <si>
    <t>Задвижка 30с941нж Ду1000 Ру 16, шт</t>
  </si>
  <si>
    <t>Задвижка 30с942нж Ду400, шт</t>
  </si>
  <si>
    <t>Задвижка 30с942нж Ду500 Ру 10, шт</t>
  </si>
  <si>
    <t>Задвижка 30с964нж Ду 200, шт</t>
  </si>
  <si>
    <t>Задвижка 30с964нж Ду 300, шт</t>
  </si>
  <si>
    <t>Задвижка 30с964нж Ду 400, шт</t>
  </si>
  <si>
    <t>Задвижка 30с964нж Ду 500 Ру 25, шт</t>
  </si>
  <si>
    <t>Задвижка 30с964нж Ду 800, шт</t>
  </si>
  <si>
    <t>Задвижка 30с964нж Ду1200 Ру 25, шт</t>
  </si>
  <si>
    <t>Задвижка 30с976нж Ду 200, шт</t>
  </si>
  <si>
    <t>Задвижка 30с976нж Ду 300 имп, шт</t>
  </si>
  <si>
    <t>Задвижка 30с976нж Ду 300 Ру63, шт</t>
  </si>
  <si>
    <t>Задвижка 30с999нж Ду 150, шт</t>
  </si>
  <si>
    <t>Задвижка 30с999нж Ду200, шт</t>
  </si>
  <si>
    <t>Задвижка 30с99нж Ду200, шт</t>
  </si>
  <si>
    <t>Задвижка 30ч6бр Ду 50 Казань, шт</t>
  </si>
  <si>
    <t>Задвижка 30ч6бр Ду 80, шт</t>
  </si>
  <si>
    <t>Задвижка 30ч6бр Ду100, шт</t>
  </si>
  <si>
    <t>Задвижка 30ч6бр Ду125, шт</t>
  </si>
  <si>
    <t>Задвижка 30ч6бр Ду150, шт</t>
  </si>
  <si>
    <t>Задвижка 30ч6бр Ду200, шт</t>
  </si>
  <si>
    <t>Задвижка 30ч6бр Ду200 Казань, шт</t>
  </si>
  <si>
    <t>Задвижка 30ч6бр Ду200 Ру 10 КОФ, шт</t>
  </si>
  <si>
    <t>Задвижка 30ч6бр Ду250, шт</t>
  </si>
  <si>
    <t>Задвижка 30ч6бр Ду250 Казань, шт</t>
  </si>
  <si>
    <t>Задвижка 30ч6бр Ду250/200, шт</t>
  </si>
  <si>
    <t>Задвижка 30ч6бр Ду300, шт</t>
  </si>
  <si>
    <t>Задвижка 30ч6бр Ду350, шт</t>
  </si>
  <si>
    <t>Задвижка 30ч6бр Ду400, шт</t>
  </si>
  <si>
    <t>Задвижка 30ч6бр Ду500, шт</t>
  </si>
  <si>
    <t>Задвижка 30ч906бр Ду 150, шт</t>
  </si>
  <si>
    <t>Задвижка 30ч906бр Ду150 Ру 10 с э/п , шт</t>
  </si>
  <si>
    <t>Задвижка 30ч906бр Ду200, шт</t>
  </si>
  <si>
    <t>Задвижка 30ч906бр Ду250, шт</t>
  </si>
  <si>
    <t>Задвижка 30ч906бр Ду400, шт</t>
  </si>
  <si>
    <t>Задвижка 30ч906бр Ду500, шт</t>
  </si>
  <si>
    <t>Задвижка 31лс45нж Ду 50  РУ 160 с КОФ, шт</t>
  </si>
  <si>
    <t>Задвижка 31ч6бр Ду200, шт</t>
  </si>
  <si>
    <t>Задвижка 31ч718бр Ду200, шт</t>
  </si>
  <si>
    <t>Заклепка вытяжная 3,2х6,0 комбинированная ал/сталь, шт</t>
  </si>
  <si>
    <t>Затвор дисковый поворотный Ду 50, шт</t>
  </si>
  <si>
    <t>Затвор дисковый поворотный Ду 80, шт</t>
  </si>
  <si>
    <t>Затвор дисковый поворотный Ду100, шт</t>
  </si>
  <si>
    <t>Затвор дисковый поворотный Ду125, шт</t>
  </si>
  <si>
    <t>Затвор дисковый поворотный Ду150, шт</t>
  </si>
  <si>
    <t>Затвор дисковый поворотный Ду200, шт</t>
  </si>
  <si>
    <t>Затвор дисковый поворотный Ду400 Ру 16 (с редуктором) , шт</t>
  </si>
  <si>
    <t>Изолирующее фланцевое соединение Ду  150 Ру 10, шт</t>
  </si>
  <si>
    <t>Катанка оцинк. 6мм, тн</t>
  </si>
  <si>
    <t>Клапан 15с18нж Ду50 Ру 40, шт</t>
  </si>
  <si>
    <t>Клапан 19нж53нж Ду 50, шт</t>
  </si>
  <si>
    <t>Клапан 19с38нж Ду150, шт</t>
  </si>
  <si>
    <t>Клапан 19с53нж Ду100, шт</t>
  </si>
  <si>
    <t>Клапан 19с53нж Ду300, шт</t>
  </si>
  <si>
    <t>Клапан 19с53нж Ду400 Ру 40, шт</t>
  </si>
  <si>
    <t>Клапан 19ч16бр Ду 300 Ру 10, шт</t>
  </si>
  <si>
    <t>Клапан 19ч21бр Ду200 Казань, шт</t>
  </si>
  <si>
    <t>Клапан 19ч21бр Ду500, шт</t>
  </si>
  <si>
    <t>Клапан обр. 19с16нж Ду300 Ру 25 , шт</t>
  </si>
  <si>
    <t>КЛАПАН ОБРАТНЫЙ TECOFI CB3448 ДУ 500,0 ММ РУ 1,6 МПА, шт</t>
  </si>
  <si>
    <t>Клапан СППК 17с23нж Ду 150, шт</t>
  </si>
  <si>
    <t>Колено 60 гр 820х11-2,5 121 ОСТ 34.10.752-97 R=1230мм 17Г1С/ 17Г1С-У/09Г2С, шт</t>
  </si>
  <si>
    <t>Колено 90° 1020х12-1,6 ст. 17Г1С 171 ОСТ 34.10-752-97, шт</t>
  </si>
  <si>
    <t>Колено 90° 1220х14-2,5 162 ст. 17Г1С 171 ОСТ 34.10-752-97, шт</t>
  </si>
  <si>
    <t>Кольцо Ду 100 Ру 63 7исп., шт</t>
  </si>
  <si>
    <t>Кольцо Ду 50 Ру 63 7исп., шт</t>
  </si>
  <si>
    <t>Корпус Ду80 Ру25/40, шт</t>
  </si>
  <si>
    <t>Корпус Ду80 Ру25/40 20ГЛ, шт</t>
  </si>
  <si>
    <t>Корпус КОП Ду80 Ру25/40 ст.25Л, шт</t>
  </si>
  <si>
    <t>Кран 11б27п Ду15, шт</t>
  </si>
  <si>
    <t>Кран 11б27п Ду20 ГАЗ, шт</t>
  </si>
  <si>
    <t>Кран 11б27п1 Ду15, шт</t>
  </si>
  <si>
    <t>Кран 11б27п1 Ду20, шт</t>
  </si>
  <si>
    <t>Кран 11б27п1 Ду25, шт</t>
  </si>
  <si>
    <t>Кран 11б27п1 Ду32, шт</t>
  </si>
  <si>
    <t>КРАН ШАРОВОЙ СТАНДАРТНЫЙ ГАЗОВЫЙ WK-2A ДУ 50,0 ММ РУ 1,6 МПА, шт</t>
  </si>
  <si>
    <t>Кран шаровый Ду 15х40, шт</t>
  </si>
  <si>
    <t>Кран шаровый Ду 20х40, шт</t>
  </si>
  <si>
    <t>Кран шаровый Ду 25х40, шт</t>
  </si>
  <si>
    <t>Крышка Ду 400 Ру25 20ГЛ (Крышка), шт</t>
  </si>
  <si>
    <t>Крышка Ду 80 Ру25/40, шт</t>
  </si>
  <si>
    <t>КШЦП Ду 25 Ру40, шт</t>
  </si>
  <si>
    <t>КШЦП Ду 32 Ру40, шт</t>
  </si>
  <si>
    <t>КШЦП Ду 40 Ру40, шт</t>
  </si>
  <si>
    <t>КШЦП Ду 50 Ру40, шт</t>
  </si>
  <si>
    <t>КШЦП Ду 80 Ру16, шт</t>
  </si>
  <si>
    <t>КШЦП Ду100 Ру25, шт</t>
  </si>
  <si>
    <t>КШЦП Ду250 Ру2,5, шт</t>
  </si>
  <si>
    <t>КШЦФ Ду100 Ру25, шт</t>
  </si>
  <si>
    <t>КШЦФ Ду150 Ру1,6, шт</t>
  </si>
  <si>
    <t>КШЦФ Ду40 Ру40, шт</t>
  </si>
  <si>
    <t>КШЦФ Ду50 Ру4,0 МПа, шт</t>
  </si>
  <si>
    <t>Матрицы под переходы 114х89, шт</t>
  </si>
  <si>
    <t>Матрицы под переходы 377х325, шт</t>
  </si>
  <si>
    <t>Опора матрицы 530, шт</t>
  </si>
  <si>
    <t>Отвод  219х 8,0 30 гр ст 09Г2С ГОСТ 17375-2001, шт</t>
  </si>
  <si>
    <t>Отвод  219х 8,0 30 гр ст 20 ГОСТ 17375-2001, шт</t>
  </si>
  <si>
    <t>Отвод  219х 8,0 45 гр ст 09Г2С ГОСТ 17375-2001, шт</t>
  </si>
  <si>
    <t>Отвод  219х 8,0 45 гр ст 12Х18Н10Т ГОСТ 17375-2001, шт</t>
  </si>
  <si>
    <t>Отвод  219х 8,0 45 гр ст 20 ГОСТ 17375-2001, шт</t>
  </si>
  <si>
    <t>Отвод  219х 8,0 90 гр  ст 09Г2С ГОСТ 17375-2001, шт</t>
  </si>
  <si>
    <t>Отвод  219х10 10 гр ст 09Г2С ГОСТ 17375-2001, шт</t>
  </si>
  <si>
    <t>Отвод  219х10 45 гр ст 20 ГОСТ 17375-2001, шт</t>
  </si>
  <si>
    <t>Отвод  219х10 45 гр ст 20 ГОСТ 30753-2001, шт</t>
  </si>
  <si>
    <t>Отвод  219х10 60 гр ст 09Г2С ГОСТ 17375-2001, шт</t>
  </si>
  <si>
    <t>Отвод  219х10 ст 20 ГОСТ 30753-2001, шт</t>
  </si>
  <si>
    <t>Отвод  219х11 45 гр ст 09Г2С ГОСТ 17375-2001, шт</t>
  </si>
  <si>
    <t>Отвод  219х12 15 гр ст 09Г2С ГОСТ 17375-2001, шт</t>
  </si>
  <si>
    <t>Отвод  219х12 30 гр ст 09Г2С ГОСТ 17375-2001, шт</t>
  </si>
  <si>
    <t>Отвод  219х12 30 гр ст 20 ГОСТ 17375-2001, шт</t>
  </si>
  <si>
    <t>Отвод  219х12 45 гр ст 20 ГОСТ 17375-2001, шт</t>
  </si>
  <si>
    <t>Отвод  219х14 30 гр ст 20 ГОСТ 17375-2001, шт</t>
  </si>
  <si>
    <t>Отвод  219х14 45 гр ст 20 ГОСТ 17375-2001, шт</t>
  </si>
  <si>
    <t>Отвод  219х16 30 гр ст 20 ГОСТ 17375-2001, шт</t>
  </si>
  <si>
    <t>Отвод  219х16 45 гр ст 20 ГОСТ 17375-2001, шт</t>
  </si>
  <si>
    <t>Отвод  219х16 90 гр ст 20 ГОСТ 17375-2001, шт</t>
  </si>
  <si>
    <t>Отвод  219х18 30 гр ст 20 ГОСТ 17375-2001, шт</t>
  </si>
  <si>
    <t>Отвод  219х18 45 гр ст 09Г2С ГОСТ 17375-2001, шт</t>
  </si>
  <si>
    <t>Отвод  219х18 90 гр ст 20 ГОСТ 17375-2001, шт</t>
  </si>
  <si>
    <t>Отвод  219х20 30 гр ст 20 ГОСТ 17375-2001, шт</t>
  </si>
  <si>
    <t>Отвод  219х20 90 гр ст 20 ГОСТ 17375-2001, шт</t>
  </si>
  <si>
    <t>Отвод  273х 6,0 30 гр ст 20 ГОСТ 17375-2001, шт</t>
  </si>
  <si>
    <t>Отвод  273х 6,0 45 гр ст 09Г2С ГОСТ 17375-2001, шт</t>
  </si>
  <si>
    <t>Отвод  273х 7,0 45 гр ст 09Г2С ГОСТ 17375-2001, шт</t>
  </si>
  <si>
    <t>Отвод  273х 7,0 45 гр ст 20 ГОСТ 17375-2001, шт</t>
  </si>
  <si>
    <t>Отвод  273х 8,0 30 гр ст 09Г2С ГОСТ 17375-2001, шт</t>
  </si>
  <si>
    <t>Отвод  273х 8,0 30 гр ст 12Х18Н10Т ГОСТ 17375-2001, шт</t>
  </si>
  <si>
    <t>Отвод  273х 8,0 30 гр ст 20 ГОСТ 17375-2001, шт</t>
  </si>
  <si>
    <t>Отвод  273х 8,0 30 гр ст 20 ГОСТ 30753-2001, шт</t>
  </si>
  <si>
    <t>Отвод  273х 8,0 45 гр ст 09Г2С ГОСТ 17375-2001, шт</t>
  </si>
  <si>
    <t>Отвод  273х 8,0 45 гр ст 20 ГОСТ 17375-2001, шт</t>
  </si>
  <si>
    <t>Отвод  273х 8,0 45 гр ст 20 ГОСТ 30753-2001, шт</t>
  </si>
  <si>
    <t>Отвод  273х 8,0 75 гр ст 20 ГОСТ 17375-2001, шт</t>
  </si>
  <si>
    <t>Отвод  273х 8,0 90 гр ст 09Г2С ГОСТ 17375-2001, шт</t>
  </si>
  <si>
    <t>Отвод  273х 8,0 90 гр ст 12Х18Н10Т ГОСТ 17375-2001, шт</t>
  </si>
  <si>
    <t>Отвод  273х 9,0 30 гр ст 09Г2С ГОСТ 17375-2001, шт</t>
  </si>
  <si>
    <t>Отвод  273х 9,0 30 гр ст 20 ГОСТ 17375-2001, шт</t>
  </si>
  <si>
    <t>Отвод  273х 9,0 45 гр ст 09Г2С ГОСТ 17375-2001, шт</t>
  </si>
  <si>
    <t>Отвод  273х 9,0 45 гр ст 20 ГОСТ 30753-2001, шт</t>
  </si>
  <si>
    <t>Отвод  273х10 30 гр ст 09Г2С ГОСТ 17375-2001, шт</t>
  </si>
  <si>
    <t>Отвод  273х10 30 гр ст 20 ГОСТ 17375-2001, шт</t>
  </si>
  <si>
    <t>Отвод  273х10 30 гр ст 20 ОСТ 34.10.699-97, шт</t>
  </si>
  <si>
    <t>Отвод  273х10 45 гр ст 09Г2С ГОСТ 17375-2001, шт</t>
  </si>
  <si>
    <t>Отвод  273х10 45 гр ст 20 ГОСТ 30753-2001, шт</t>
  </si>
  <si>
    <t>Отвод  273х10,0 90гр ст 12Х18Н10Т ГОСТ 17375-2001, шт</t>
  </si>
  <si>
    <t>Отвод  273х12 30 гр ст 09Г2С ГОСТ 17375-2001, шт</t>
  </si>
  <si>
    <t>Отвод  273х12 30 гр ст 20 ГОСТ 17375-2001, шт</t>
  </si>
  <si>
    <t>Отвод  273х12 30 гр ст 20 ОСТ 34.10.752-97, шт</t>
  </si>
  <si>
    <t>Отвод  273х12 45 гр ст 09Г2С ГОСТ 17375-2001, шт</t>
  </si>
  <si>
    <t>Отвод  273х12 45 гр ст 20 ГОСТ 17375-2001, шт</t>
  </si>
  <si>
    <t>Отвод  273х12 90 гр ст 09Г2С ГОСТ 17375-2001, шт</t>
  </si>
  <si>
    <t>Отвод  273х14 30 гр ст 20 ГОСТ 17375-2001, шт</t>
  </si>
  <si>
    <t>Отвод  273х16 30 гр ст 20 ГОСТ 17375-2001, шт</t>
  </si>
  <si>
    <t>Отвод  273х16 45 гр ст 20 ГОСТ 17375-2001, шт</t>
  </si>
  <si>
    <t>Отвод  273х20 90 гр ст 09Г2С ГОСТ 17375-2001, шт</t>
  </si>
  <si>
    <t>Отвод  273х20 90 гр ст 20 ГОСТ 17375-2001, шт</t>
  </si>
  <si>
    <t>Отвод  273х22 90гр ст 09Г2С ГОСТ 17375-2001 (по факту 22-24), шт</t>
  </si>
  <si>
    <t>Отвод  273х24 90 гр ст 09Г2С ГОСТ 17375-2001 (по факту 24-26), шт</t>
  </si>
  <si>
    <t>Отвод  325х 7,0 15 гр ст 20 ГОСТ 17375-2001, шт</t>
  </si>
  <si>
    <t>Отвод  325х 7,0 30 гр ст 20 ГОСТ 17375-2001, шт</t>
  </si>
  <si>
    <t>Отвод  325х 8,0 30 гр ст 09Г2С ГОСТ 17375-2001, шт</t>
  </si>
  <si>
    <t>Отвод  325х 8,0 30 гр ст 20 ГОСТ 17375-2001, шт</t>
  </si>
  <si>
    <t>Отвод  325х 8,0 45 гр ст 09Г2С ГОСТ 17375-2001, шт</t>
  </si>
  <si>
    <t>Отвод  325х 9,0 45 гр ст 09Г2С ГОСТ 17375-2001, шт</t>
  </si>
  <si>
    <t>Отвод  325х10  45 гр ст 09Г2С ГОСТ 30753-2001, шт</t>
  </si>
  <si>
    <t>Отвод  325х10 30 гр ст 09Г2С ГОСТ 17375-2001, шт</t>
  </si>
  <si>
    <t>Отвод  325х10 30 гр ст 20 ГОСТ 17375-2001, шт</t>
  </si>
  <si>
    <t>Отвод  325х10 30 гр ст 20 ГОСТ 30753-2001, шт</t>
  </si>
  <si>
    <t>Отвод  325х10 45 гр ст 20 ГОСТ 17375-2001, шт</t>
  </si>
  <si>
    <t>Отвод  325х10 60 гр ст 20 ГОСТ 17375-2001, шт</t>
  </si>
  <si>
    <t>Отвод  325х10 90 гр ст 20 ГОСТ 17375-2001, шт</t>
  </si>
  <si>
    <t>Отвод  325х12 30 гр ст 09Г2С ГОСТ 17375-2001, шт</t>
  </si>
  <si>
    <t>Отвод  325х12 30 гр ст 20 ГОСТ 17375-2001, шт</t>
  </si>
  <si>
    <t>Отвод  325х12 45 гр ст 09Г2С ГОСТ 17375-2001, шт</t>
  </si>
  <si>
    <t>Отвод  325х12 45 гр ст 20 ГОСТ 17375-2001, шт</t>
  </si>
  <si>
    <t>Отвод  325х12 90 гр ст 20 ГОСТ 17375-2001, шт</t>
  </si>
  <si>
    <t>Отвод  325х14 30 гр ст 20 ГОСТ 17375-2001, шт</t>
  </si>
  <si>
    <t>Отвод  325х14 45 гр ст 20 ГОСТ 17375-2001, шт</t>
  </si>
  <si>
    <t>Отвод  325х16 90 гр ст 09Г2С ГОСТ 17375-2001, шт</t>
  </si>
  <si>
    <t>Отвод  325х18 90 гр ст 20 ГОСТ 17375-2001, шт</t>
  </si>
  <si>
    <t>Отвод  325х20 15 гр ст 09Г2С ГОСТ 17375-2001, шт</t>
  </si>
  <si>
    <t>Отвод  325х26 30 гр ст 20 ГОСТ 17375-2001, шт</t>
  </si>
  <si>
    <t>Отвод  325х26 45 гр ст 20 ГОСТ 17375-2001, шт</t>
  </si>
  <si>
    <t>Отвод  377х 8 45 гр ст 20 ГОСТ 30753-2001, шт</t>
  </si>
  <si>
    <t>Отвод  377х 8,0 45 гр ст 20 ГОСТ 17375-2001, шт</t>
  </si>
  <si>
    <t>Отвод  377х 8,0 90 гр ст 20 ГОСТ 17375-2001, шт</t>
  </si>
  <si>
    <t>Отвод  377х 9,0 30 гр ст 09Г2С ГОСТ 17375-2001, шт</t>
  </si>
  <si>
    <t>Отвод  377х 9,0 45 гр ст 09Г2С ГОСТ 17375-2001, шт</t>
  </si>
  <si>
    <t>Отвод  377х10 15 гр ст 20 ГОСТ 17375-2001, шт</t>
  </si>
  <si>
    <t>Отвод  377х10 30 гр ст 09Г2С ГОСТ 17375-2001, шт</t>
  </si>
  <si>
    <t>Отвод  377х10 30 гр ст 20 ГОСТ 17375-2001, шт</t>
  </si>
  <si>
    <t>Отвод  377х10 30 гр ст 20 ГОСТ 30753-2001, шт</t>
  </si>
  <si>
    <t>Отвод  377х10 45 гр ст 09Г2С ГОСТ 17375-2001, шт</t>
  </si>
  <si>
    <t>Отвод  377х10 45 гр ст 09Г2С ГОСТ 30753-2001, шт</t>
  </si>
  <si>
    <t>Отвод  377х10 45 гр ст 12Х18Н10Т ГОСТ 17375-2001, шт</t>
  </si>
  <si>
    <t>Отвод  377х10 45 гр ст 20 ГОСТ 17375-2001, шт</t>
  </si>
  <si>
    <t>Отвод  377х12 45 гр ст 20 ГОСТ 17375-2001, шт</t>
  </si>
  <si>
    <t>Отвод  377х12 90 гр ст 20 ГОСТ 17375-2001, шт</t>
  </si>
  <si>
    <t>Отвод  377х13 30 гр ст 20 ГОСТ 17375-2001, шт</t>
  </si>
  <si>
    <t>Отвод  377х14 30 гр ст 20 ГОСТ 17375-2001, шт</t>
  </si>
  <si>
    <t>Отвод  377х14 45 гр ст 20 ГОСТ 17375-2001, шт</t>
  </si>
  <si>
    <t>Отвод  377х18 90 гр ст 20 ГОСТ 17375-2001, шт</t>
  </si>
  <si>
    <t>Отвод  426х 8 30гр ст 20 ГОСТ 17375-2001, шт</t>
  </si>
  <si>
    <t>Отвод  426х 8 45 гр ст 09Г2С ГОСТ 17375-2001, шт</t>
  </si>
  <si>
    <t>Отвод  426х 8 45 гр ст 20 ГОСТ 17375-2001, шт</t>
  </si>
  <si>
    <t>Отвод  426х 8 75гр ст 20 ГОСТ 17375-2001, шт</t>
  </si>
  <si>
    <t>Отвод  426х10 15 гр ст 20 ГОСТ 17375-2001, шт</t>
  </si>
  <si>
    <t>Отвод  426х10 30 гр ст 09Г2С ГОСТ 17375-2001, шт</t>
  </si>
  <si>
    <t>Отвод  426х10 30 гр ст 09Г2С ГОСТ 30753-2001, шт</t>
  </si>
  <si>
    <t>Отвод  426х10 30 гр ст 20 ГОСТ 17375-2001, шт</t>
  </si>
  <si>
    <t>Отвод  426х10 30 гр ст 20 ГОСТ 30753-2001, шт</t>
  </si>
  <si>
    <t>Отвод  426х10 45 гр ст 09Г2С ГОСТ 17375-2001, шт</t>
  </si>
  <si>
    <t>Отвод  426х10 45 гр ст 20 ГОСТ 17375-2001, шт</t>
  </si>
  <si>
    <t>Отвод  426х12 30 гр ст ст09Г2С ГОСТ 30753-2001, шт</t>
  </si>
  <si>
    <t>Отвод  426х12 30гр ст 09Г2С ГОСТ 17375-2001, шт</t>
  </si>
  <si>
    <t>Отвод  426х12 30гр ст 20 ГОСТ 17375-2001, шт</t>
  </si>
  <si>
    <t>Отвод  426х12 45 гр ст 09Г2С ГОСТ 17375-2001, шт</t>
  </si>
  <si>
    <t>Отвод  426х12 45 гр ст 09Г2С ГОСТ 30753-2001, шт</t>
  </si>
  <si>
    <t>Отвод  426х12 45 гр ст 20 ГОСТ 17375-2001, шт</t>
  </si>
  <si>
    <t>Отвод  426х14 30 гр ст 09Г2С ГОСТ 17375-2001, шт</t>
  </si>
  <si>
    <t>Отвод  426х14 30 гр ст 20 ГОСТ 17375-2001, шт</t>
  </si>
  <si>
    <t>Отвод  426х14 45 гр ст 09Г2С ГОСТ 17375-2001, шт</t>
  </si>
  <si>
    <t>Отвод  426х14 60 гр ст 20 ГОСТ 17375-2001, шт</t>
  </si>
  <si>
    <t>Отвод  426х16 30 гр ст 20 ГОСТ 17375-2001, шт</t>
  </si>
  <si>
    <t>Отвод  426х16 45 гр ст 20 ГОСТ 17375-2001, шт</t>
  </si>
  <si>
    <t>Отвод  426х18 60 гр ст 20 ГОСТ 17375-2001, шт</t>
  </si>
  <si>
    <t>Отвод  530х 8,0 15 гр ст 20 ГОСТ 17375-2001, шт</t>
  </si>
  <si>
    <t>Отвод  530х 9,0 45 гр ст 20 ГОСТ 17375-2001, шт</t>
  </si>
  <si>
    <t>Отвод  530х10 30 гр ст 09Г2С ГОСТ 17375-2001, шт</t>
  </si>
  <si>
    <t>Отвод  530х10 30 гр ст 20 ГОСТ 17375-2001, шт</t>
  </si>
  <si>
    <t>Отвод  530х10 30 гр ст 20 ГОСТ 30753-2001, шт</t>
  </si>
  <si>
    <t>Отвод  530х10 45 гр ст 09Г2С ГОСТ 30753-2001, шт</t>
  </si>
  <si>
    <t>Отвод  530х10 45 гр ст 20 ГОСТ 17375-2001, шт</t>
  </si>
  <si>
    <t>Отвод  530х12 45 гр ст 20 ГОСТ 17375-2001, шт</t>
  </si>
  <si>
    <t>Отвод  530х12 45 гр ст 20 ГОСТ 30753-2001, шт</t>
  </si>
  <si>
    <t>Отвод  530х12 90 гр ст 09Г2С ГОСТ 30753-2001, шт</t>
  </si>
  <si>
    <t>Отвод  530х14 30 гр ст 20 ГОСТ 17375-2001, шт</t>
  </si>
  <si>
    <t>Отвод  530х14 45 гр ст 09Г2С ГОСТ 17375-2001, шт</t>
  </si>
  <si>
    <t>Отвод  530х14 45 гр ст 20 ГОСТ 30753-2001, шт</t>
  </si>
  <si>
    <t>Отвод  530х16 45 гр ст 20 ГОСТ 17375-2001, шт</t>
  </si>
  <si>
    <t>Отвод  530х16 45 гр ст 20 ГОСТ 30753-2001, шт</t>
  </si>
  <si>
    <t>Отвод  530х16 90 гр ст 09Г2С ГОСТ 30753-2001, шт</t>
  </si>
  <si>
    <t>Отвод  530х20 90 гр ст 20 ГОСТ 30753-2001, шт</t>
  </si>
  <si>
    <t>Отвод  530х24 90 гр ст 20 ГОСТ 30753-2001, шт</t>
  </si>
  <si>
    <t>Отвод  530х24 90гр (бесшовные) 09Г2С ГОСТ 17275-2001, шт</t>
  </si>
  <si>
    <t>Отвод  630х 8,0 45 гр ст 20 ГОСТ 17375-2001, шт</t>
  </si>
  <si>
    <t>Отвод  630х 9 45 гр ст 20 ГОСТ 17375-2001, шт</t>
  </si>
  <si>
    <t>Отвод  630х 9,0 30 гр ст 20 ГОСТ 30753-2001, шт</t>
  </si>
  <si>
    <t>Отвод  630х 9,0 45 гр ст 20 ГОСТ 30753-2001, шт</t>
  </si>
  <si>
    <t>Отвод  630х10 15 гр ст 12Х18Н10Т ГОСТ 17375-2001, шт</t>
  </si>
  <si>
    <t>Отвод  630х10 30 гр ст 09Г2С ГОСТ 17375-2001, шт</t>
  </si>
  <si>
    <t>Отвод  630х10 30 гр ст 20 ГОСТ 17375-2001, шт</t>
  </si>
  <si>
    <t>Отвод  630х10 30 гр ст 20 ГОСТ 30753-2001, шт</t>
  </si>
  <si>
    <t>Отвод  630х12 30 гр ст 09Г2С ГОСТ 17375-2001, шт</t>
  </si>
  <si>
    <t>Отвод  630х12 30 гр ст 09Г2С ГОСТ 30753-2001, шт</t>
  </si>
  <si>
    <t>Отвод  630х12 30 гр ст 20 ГОСТ 30753-2001, шт</t>
  </si>
  <si>
    <t>Отвод  630х12 45 гр ст 09Г2С ГОСТ 17375-2001, шт</t>
  </si>
  <si>
    <t>Отвод  630х12 45 гр ст 20 ГОСТ 17375-2001, шт</t>
  </si>
  <si>
    <t>Отвод  630х14 30 гр ст 09Г2С ГОСТ 17375-2001, шт</t>
  </si>
  <si>
    <t>Отвод  630х14 30 гр ст 09Г2С ГОСТ 30753-2001, шт</t>
  </si>
  <si>
    <t>Отвод  630х14 30 гр ст 20 ГОСТ 17375-2001, шт</t>
  </si>
  <si>
    <t>Отвод  630х14 45 гр ст 09Г2С ГОСТ 17375-2001, шт</t>
  </si>
  <si>
    <t>Отвод  630х14 45 гр ст 09Г2С ГОСТ 30753-2001, шт</t>
  </si>
  <si>
    <t>Отвод  630х20 45 гр ст 20 ГОСТ 30753-2001, шт</t>
  </si>
  <si>
    <t>Отвод  720х10 30 гр ст 09Г2С ГОСТ 17375-2001, шт</t>
  </si>
  <si>
    <t>Отвод  720х10 30 гр ст 20 ГОСТ 17375-2001, шт</t>
  </si>
  <si>
    <t>Отвод  720х10 30 гр ст 20 ГОСТ 30753-2001, шт</t>
  </si>
  <si>
    <t>Отвод  720х12 30 гр ст 09Г2С ГОСТ 17375-2001, шт</t>
  </si>
  <si>
    <t>Отвод  720х12 30 гр ст 09Г2С ГОСТ 30753-2001, шт</t>
  </si>
  <si>
    <t>Отвод  720х12 45 гр ст 09Г2С ГОСТ 17375-2001, шт</t>
  </si>
  <si>
    <t>Отвод  720х12 45 гр ст 09Г2С ГОСТ 30753-2001, шт</t>
  </si>
  <si>
    <t>Отвод  720х12 45 гр ст 20 ГОСТ 30753-2001, шт</t>
  </si>
  <si>
    <t>Отвод  720х12 45 гр ст20 ГОСТ 17375-2001, шт</t>
  </si>
  <si>
    <t>Отвод  720х14 45 гр ст 20 ГОСТ 17375-2001, шт</t>
  </si>
  <si>
    <t>Отвод  720х16 60 гр ст 09Г2С ГОСТ 17375-2001, шт</t>
  </si>
  <si>
    <t>Отвод  820х10 30 гр ст 09Г2С  ГОСТ 17375-2001, шт</t>
  </si>
  <si>
    <t>Отвод  820х10 30 гр ст 20 ГОСТ 17375-2001, шт</t>
  </si>
  <si>
    <t>Отвод  820х10 45 гр ст 09Г2С ГОСТ 17375-2001, шт</t>
  </si>
  <si>
    <t>Отвод  820х10 45 гр ст 09Г2С ГОСТ 30753-2001, шт</t>
  </si>
  <si>
    <t>Отвод  820х10 45 гр ст 20 ГОСТ 17375-2001, шт</t>
  </si>
  <si>
    <t>Отвод  820х10 45 гр ст 20 ГОСТ 30753-2001, шт</t>
  </si>
  <si>
    <t>Отвод  820х11 30 гр ст 09Г2С ГОСТ 17375-2001, шт</t>
  </si>
  <si>
    <t>Отвод  820х12 30 гр ст 20 ГОСТ 17375-2001, шт</t>
  </si>
  <si>
    <t>Отвод  820х12 30 гр ст 20 ОСТ 36-20-77 , шт</t>
  </si>
  <si>
    <t>Отвод  820х12 45 гр ст 09Г2С ГОСТ 17375-2001, шт</t>
  </si>
  <si>
    <t>Отвод  820х12 60гр 09Г2С ОСТ 36-20-77, шт</t>
  </si>
  <si>
    <t>Отвод  820х12 90 гр ст 09Г2С ГОСТ 17375-2001, шт</t>
  </si>
  <si>
    <t>Отвод  820х14 30 гр ст 09Г2С ГОСТ 17375-2001, шт</t>
  </si>
  <si>
    <t>Отвод  820х14 30 гр ст 20 ГОСТ 17375-2001, шт</t>
  </si>
  <si>
    <t>Отвод  820х14 45 гр ст 09Г2С ГОСТ 17375-2001, шт</t>
  </si>
  <si>
    <t>Отвод  820х16 45 гр ст 20 ГОСТ 30753-2001, шт</t>
  </si>
  <si>
    <t>Отвод 1020х10 90 гр 5 секторный, шт</t>
  </si>
  <si>
    <t>Отвод 1020х10 R1,5D 09Г2С секторный, шт</t>
  </si>
  <si>
    <t>Отвод 1020х14 30 гр ст 20 ГОСТ 17375-2001 (2 шва), шт</t>
  </si>
  <si>
    <t>Отвод 1020х14 45 гр ст 20 ГОСТ 30753-2001 (2шва), шт</t>
  </si>
  <si>
    <t>Отвод 1020х26 30 гр ст 20 ГОСТ 17375-2001 (2шва), шт</t>
  </si>
  <si>
    <t>Отвод 1020х28 45 гр ст 20 ГОСТ 17375-2001, шт</t>
  </si>
  <si>
    <t>Отвод 1020х28 90 гр ст 20 ГОСТ 17375-2001 (2 шва), шт</t>
  </si>
  <si>
    <t>Отвод 1220х28 30 гр ст 20 ГОСТ 17375-2001, шт</t>
  </si>
  <si>
    <t>Отвод 1220х32 90 гр ст 20 ГОСТ 17375-2001, шт</t>
  </si>
  <si>
    <t>Переход  219( 6,0) х  57( 4,0) ГОСТ 17378-2001, шт</t>
  </si>
  <si>
    <t>Переход  219( 6,0) х  57( 6,0) ст 09Г2С ГОСТ 17378-2001, шт</t>
  </si>
  <si>
    <t>Переход  219( 6,0) х  76( 3,5) ГОСТ 17378-2001, шт</t>
  </si>
  <si>
    <t>Переход  219( 6,0) х  76( 6,0) ГОСТ 17378-2001, шт</t>
  </si>
  <si>
    <t>Переход  219( 6,0) х  76( 6,0) ст 09Г2С ГОСТ 17378-2001, шт</t>
  </si>
  <si>
    <t>Переход  219( 6,0) х  89( 4,0) ГОСТ 17378-2001, шт</t>
  </si>
  <si>
    <t>Переход  219( 6,0) х  89( 4) ст 09Г2С ГОСТ 17378-2001, шт</t>
  </si>
  <si>
    <t>Переход  219( 6,0) х  89( 4) ст 20 ГОСТ 17378-2001, шт</t>
  </si>
  <si>
    <t>Переход  219( 6,0) х  89( 6,0) ст 09Г2С ГОСТ 17378-2001, шт</t>
  </si>
  <si>
    <t>Переход  219( 6,0) х  89( 6,0) ст 20 ГОСТ 17378-2001, шт</t>
  </si>
  <si>
    <t>Переход  219( 6,0) х 108( 6,0) ст 20 ГОСТ 17378-2001, шт</t>
  </si>
  <si>
    <t>Переход  219( 6,0) х 114( 6,0) ст 20 ГОСТ 17378-2001, шт</t>
  </si>
  <si>
    <t>Переход  219( 6,0) х 133( 6,0) ст09Г2С ГОСТ 17378-2001, шт</t>
  </si>
  <si>
    <t>Переход  219( 6,0) х 159( 6,0) ГОСТ 17378-2001, шт</t>
  </si>
  <si>
    <t>Переход  219( 6,0) х 159( 6,0) ст 09Г2С ГОС 17378-2001, шт</t>
  </si>
  <si>
    <t>Переход  219( 7,0) х 133( 4,0) ст 20 ГОСТ 17378-2001, шт</t>
  </si>
  <si>
    <t>Переход  219( 7,0) х 159( 7,0) ст 09Г2С ГОСТ 17378-2001, шт</t>
  </si>
  <si>
    <t>Переход  219( 8,0) х  89( 3,5) ГОСТ 17378-2001, шт</t>
  </si>
  <si>
    <t>Переход  219( 8,0) х  89( 5,0) ГОСТ 17378-2001, шт</t>
  </si>
  <si>
    <t>Переход  219( 8,0) х 133( 6,0) ст 20 ГОСТ 17378-2001, шт</t>
  </si>
  <si>
    <t>Переход  219( 8,0) х 159( 8,0) 09Г2С, шт</t>
  </si>
  <si>
    <t>Переход  219( 8,0) х 159( 8,0) ст 20, шт</t>
  </si>
  <si>
    <t>Переход  219( 9,0) х 133( 9,0) 09Г2С ГОСТ 17376-2001, шт</t>
  </si>
  <si>
    <t>Переход  219( 9,0) х 159( 9,0) 09Г2С ГОСТ 17376-2001, шт</t>
  </si>
  <si>
    <t>Переход  219( 9,0) х 159( 9,0) ст 20 ГОСТ 17376-2001, шт</t>
  </si>
  <si>
    <t>Переход  219(10,0) х  76( 6,0) ГОСТ 17378-2001, шт</t>
  </si>
  <si>
    <t>Переход  219(10,0) х 159(10,0) ГОСТ 17378-2001, шт</t>
  </si>
  <si>
    <t>Переход  219(10,0) х 159(10,0) ст 09Г2С ГОСТ 17378-2001, шт</t>
  </si>
  <si>
    <t>Переход  219(10,0)/6,0 х 159( 8,0)/5,0 ГОСТ 17378-2001, шт</t>
  </si>
  <si>
    <t>Переход  219(12,0) х 159(10,0) ст 08Х18Н10Т ГОСТ 17378-2001, шт</t>
  </si>
  <si>
    <t>Переход  219(14,0) х  76( 5,0) ГОСТ 17378-2001, шт</t>
  </si>
  <si>
    <t>Переход  273 х 168 ГОСТ 17378-2001, шт</t>
  </si>
  <si>
    <t>Переход  273( 6,0) х 108( 4,0) ст 09Г2С ГОСТ 17378-2001, шт</t>
  </si>
  <si>
    <t>Переход  273( 8,0) х 108( 5,0) ГОСТ 17378-2001, шт</t>
  </si>
  <si>
    <t>Переход  273( 8,0) х 133( 5,0) ГОСТ 17378-2001, шт</t>
  </si>
  <si>
    <t>Переход  273( 8,0) х 219( 8,0) ГОСТ 17378-2001, шт</t>
  </si>
  <si>
    <t>Переход  273( 9,0) х 159(9,0) ст 09Г2С ГОСТ 17378-2001, шт</t>
  </si>
  <si>
    <t>Переход  273( 9,0) х 219(9,0) ст 09Г2С ГОСТ 17378-2001, шт</t>
  </si>
  <si>
    <t>Переход  273(10,0) х 159(10,0) ст 09Г2С ГОСТ 17378-2001, шт</t>
  </si>
  <si>
    <t>Переход  273(10,0) х 219(10,0) 09Г2С ГОСТ 17378-2001, шт</t>
  </si>
  <si>
    <t>Переход  273(10,0) х 219(10,0) ст 20, шт</t>
  </si>
  <si>
    <t>Переход  273(12,0) х 219( 10,0) ст 20 ГОСТ 17378-2001, шт</t>
  </si>
  <si>
    <t>Переход  273(14,0) х 219(14,0) ст 09Г2С ГОСТ 17378-2001, шт</t>
  </si>
  <si>
    <t>Переход  325 х 108 ГОСТ 17378-2001, шт</t>
  </si>
  <si>
    <t>Переход  325 х 114 ГОСТ 17378-2001, шт</t>
  </si>
  <si>
    <t>Переход  325 х 219 ГОСТ 17378-2001, шт</t>
  </si>
  <si>
    <t>Переход  325 х 273 ГОСТ 17378-2001, шт</t>
  </si>
  <si>
    <t>Переход  325( 8,0) х 219( 8,0) ГОСТ 17378-2001, шт</t>
  </si>
  <si>
    <t>Переход  325( 8,0) х 273(8,0) 09Г2С ГОСТ 17278-2001, шт</t>
  </si>
  <si>
    <t>Переход  325( 8,0) х 273(8,0) ГОСТ 17378-2001, шт</t>
  </si>
  <si>
    <t>Переход  325( 9,0) х 219( 8,0) ст 20 ГОСТ 17278-2001, шт</t>
  </si>
  <si>
    <t>Переход  325( 9,0) х 273(9,0) 09Г2С ГОСТ 17278-2001, шт</t>
  </si>
  <si>
    <t>Переход  325(10,0) х 159(10,0) ГОСТ 17378-2001, шт</t>
  </si>
  <si>
    <t>Переход  325(10,0) х 219(10,0) ст 20 ГОСТ 17378-2001, шт</t>
  </si>
  <si>
    <t>Переход  325(10,0) х 273(10,0) ГОСТ 17378-2001, шт</t>
  </si>
  <si>
    <t>Переход  325(10,0) х 273(10,0) ст 09г2с ГОСТ 17378-2001, шт</t>
  </si>
  <si>
    <t>Переход  325(12,0) х 159( 8,0) ст 20 ГОСТ 17378-2001, шт</t>
  </si>
  <si>
    <t>Переход  325(12,0) х 273(12,0) ст 09Г2С ГОСТ 17378-2001, шт</t>
  </si>
  <si>
    <t>Переход  325(14,0) х 159( 8,0) ГОСТ 17378-2001, шт</t>
  </si>
  <si>
    <t>Переход  325(14,0) х 168( 8,0) ст 09Г2С ГОСТ 17378-2001, шт</t>
  </si>
  <si>
    <t>Переход  325(14,0) х 273(12,0) ст 12Х18Н10Т  ГОСТ 17378-2001, шт</t>
  </si>
  <si>
    <t>Переход  325(16,0) х 273(12,0) ст 20(ст 15х5м) , шт</t>
  </si>
  <si>
    <t>Переход  377( 8,0) х 325( 8,0) ст 20 ГОСТ 17378-2001 , шт</t>
  </si>
  <si>
    <t>Переход  377(10,0) х 273(12,0) ст 09Г2С ГОСТ 17378-2001, шт</t>
  </si>
  <si>
    <t>Переход  377(10,0) х 325(10,0) ст 09Г2С , шт</t>
  </si>
  <si>
    <t>Переход  377(12,0) х 108( 6,0) ГОСТ 17378-2001, шт</t>
  </si>
  <si>
    <t>Переход  377(12,0) х 159( 8,0) ст 20 ГОСТ 17378-2001, шт</t>
  </si>
  <si>
    <t>Переход  377(12,0) х 273( 8,0) ГОСТ 17378-2001, шт</t>
  </si>
  <si>
    <t>Переход  377(14,0) х 325(12,0) ст 20 ГОСТ 17378-2001, шт</t>
  </si>
  <si>
    <t>Переход  377(16,0) х 325(16,0) ст 20 ГОСТ 17378-2001, шт</t>
  </si>
  <si>
    <t>Переход  377(16,0) х 325(18,0) ст 20 ГОСТ 17378-2001, шт</t>
  </si>
  <si>
    <t>Переход  377(18,0) х 159( 8,0) ст 20 ГОСТ 17378-2001, шт</t>
  </si>
  <si>
    <t>Переход  377(20,0) х 325(14,0) ст 20 ГОСТ 17378-2001, шт</t>
  </si>
  <si>
    <t>Переход  426( 8,0) х 159( 8,0) ГОСТ 17378-2001, шт</t>
  </si>
  <si>
    <t>Переход  426(10,0) х 168(10,0) ст 20 ГОСТ 17378-2001, шт</t>
  </si>
  <si>
    <t>Переход  426(10,0) х 273(10,0) ГОСТ 17378-2001, шт</t>
  </si>
  <si>
    <t>Переход  426(10,0) х 325(10,0) ст 20 ГОСТ 17378-2001, шт</t>
  </si>
  <si>
    <t>Переход  426(10,0) х 377( 8,0) ст 09Г2С ГОСТ 17378-2001, шт</t>
  </si>
  <si>
    <t>Переход  426(10,0) х 377(10,0) ст 09Г2С ГОСТ 17378-2001, шт</t>
  </si>
  <si>
    <t>Переход  426(12,0) х 219( 8,0) ст 09Г2С ГОСТ 17378-2001, шт</t>
  </si>
  <si>
    <t>Переход  426(12,0) х 273(10,0) ГОСТ 17378-2001, шт</t>
  </si>
  <si>
    <t>Переход  426(12,0) х 325(10,0) ст 09Г2С ГОСТ 17378-2001, шт</t>
  </si>
  <si>
    <t>Переход  426(12,0) х 325(12,0) ст 09Г2С ГОСТ 17378-2001, шт</t>
  </si>
  <si>
    <t>Переход  426(12,0) х 325(12,0) ст 20 ГОСТ 17378-2001, шт</t>
  </si>
  <si>
    <t>Переход  426(12,0) х 377(10,0) ст 09Г2С ГОСТ 17378-2001, шт</t>
  </si>
  <si>
    <t>Переход  426(12,0) х 377(12,0) ст 09Г2С ГОСТ 17378-2001, шт</t>
  </si>
  <si>
    <t>Переход  426(12,0) х 377(12,0) ст 20 Х (легированная), шт</t>
  </si>
  <si>
    <t>Переход  426(14,0) х 325(10,0) ст 09Г2С ГОСТ 17378-2001, шт</t>
  </si>
  <si>
    <t>Переход  426(16,0) х 325(18,0) ст 09Г2С ГОСТ 17378-2001, шт</t>
  </si>
  <si>
    <t>Переход  426(16,0) х 377(16,0) ст 09Г2С ГОСТ 17378-2001, шт</t>
  </si>
  <si>
    <t>Переход  426(16,0) х 377(18,0) ст 09Г2С ГОСТ 17378-2001, шт</t>
  </si>
  <si>
    <t>Переход  530(10,0) х 377(10,0) ст 09Г2С ГОСТ 17378-2001, шт</t>
  </si>
  <si>
    <t>Переход  530(10,0) х 426(10,0) ст 09Г2С ГОСТ 17378-2001, шт</t>
  </si>
  <si>
    <t>Переход  530(10,0) х 426(12,0) ст 09Г2С ГОСТ 17378-2001, шт</t>
  </si>
  <si>
    <t>Переход  530(12,0) х 325(12,0) 09Г2С, шт</t>
  </si>
  <si>
    <t>Переход  530(12,0) х 325(12,0) ГОСТ 17378-2001, шт</t>
  </si>
  <si>
    <t>Переход  530(12,0) х 377(10,0) ст 20 ГОСТ 17378-2001, шт</t>
  </si>
  <si>
    <t>Переход  530(12,0) х 377(12,0) ст 20 ГОСТ 17378-2001, шт</t>
  </si>
  <si>
    <t>Переход  530(12,0) х 426(10,0) ст 09Г2С ГОСТ 17378-2001, шт</t>
  </si>
  <si>
    <t>Переход  530(12,0) х 426(12,0) ГОСТ 17378-2001, шт</t>
  </si>
  <si>
    <t>Переход  530(12,0) х 426(12,0) ст 09Г2С, шт</t>
  </si>
  <si>
    <t>Переход  530(14,0) х 426(14,0) ГОСТ 17378-2001, шт</t>
  </si>
  <si>
    <t>Переход  600 х 300-1,6 ст 17Г1С ГОСТ 19281-89 25 ОСТ 34.10.753-97, шт</t>
  </si>
  <si>
    <t>Переход  600х500-1,6 27 ст.09Г2С  ОСТ 34 10.753-97, шт</t>
  </si>
  <si>
    <t>Переход  600х500-1,6 27 ст.20  ОСТ 34 10.753-97, шт</t>
  </si>
  <si>
    <t>Переход  630( 8,0) х 530( 8,0) ГОСТ 17378-2001, шт</t>
  </si>
  <si>
    <t>Переход  630(10,0) х 426(10,0) ст 20 ГОСТ 17378-2001, шт</t>
  </si>
  <si>
    <t>Переход  630(10,0) х 530(10,0) ст 20 ОСТ 36-22-77, шт</t>
  </si>
  <si>
    <t>Переход  630(12,0) х 530(12,0) ст 09Г2С 08 ОСТ 34 10.753-97, шт</t>
  </si>
  <si>
    <t>Переход  630(12,0) х 530(12,0) ст 09Г2С ОСТ 34 10.753-97, шт</t>
  </si>
  <si>
    <t>Переход  630(12,0) х 530(12,0) ст 20 ОСТ 34 10.753-97, шт</t>
  </si>
  <si>
    <t>Переход  630(12,0) х 530(12,0) ст20 ТС-585-07, шт</t>
  </si>
  <si>
    <t>Переход  630х530-1,6 ст 09Г2С 27 ОСТ 34 10.753-97, шт</t>
  </si>
  <si>
    <t>Переход  630х530-2,5 ст 20 08 ОСТ 34 10.753-97, шт</t>
  </si>
  <si>
    <t>Переход  700 х 500-2,5 ст 17Г1С ТС-585-10, шт</t>
  </si>
  <si>
    <t>Переход  700 х 600-1,6-30 ст 09Г2С ОСТ 34.10.753-97 , шт</t>
  </si>
  <si>
    <t>Переход  700 х 600-2,5 ст 09Г2С 12 ОСТ 34.10.753-97 , шт</t>
  </si>
  <si>
    <t>Переход  700(8) х 600(8)-1,6 ст ОСТ 34.10.753-97 исп.30, тип К, L=215, шт</t>
  </si>
  <si>
    <t>Переход  720 х 426 ГОСТ 17378-2001, шт</t>
  </si>
  <si>
    <t>Переход  720(10,0) х 630(10,0) ст 09Г2С ОСТ 34-10-753-97, шт</t>
  </si>
  <si>
    <t>Переход  720(16,0) х 530(16,0) ст 20 ГОСТ 17378-2001, шт</t>
  </si>
  <si>
    <t>Переход  720(22,0) х 426(14,0) ГОСТ 17378-2001, шт</t>
  </si>
  <si>
    <t>Переход  720х630-2,5 ст 20 12 ОСТ 34.10.753-97, шт</t>
  </si>
  <si>
    <t>Переход  800х500-1,6 ст 20 ОСТ 34 10.753-97, шт</t>
  </si>
  <si>
    <t>Переход  800х700-2,5 ст 09Г2С 16 ОСТ 34 10.753-97, шт</t>
  </si>
  <si>
    <t>Переход  820 - 630 - 2,5 ст 20 15 ОСТ 34.10.753-97, шт</t>
  </si>
  <si>
    <t>Переход  820(14,0) х 530(14,0) ст 20 ОСТ 36-22-77, шт</t>
  </si>
  <si>
    <t>Переход  820(16,0) х 720(16,0) ГОСТ 17378-2001, шт</t>
  </si>
  <si>
    <t>Переход  820х12,0 - 530х12,0-2,5 14 ст 20 ОСТ 34.10.753-97 L=680, шт</t>
  </si>
  <si>
    <t>Переход 1020 х 720 ГОСТ 17378-2001, шт</t>
  </si>
  <si>
    <t>Переход 1020(18,0) х 820(14,0) ст 09Г2С ОСТ -34-10-753-97, шт</t>
  </si>
  <si>
    <t>Переход 1020(28,0) х 720(20,0) ГОСТ 17378-2001, шт</t>
  </si>
  <si>
    <t>Переход 1220 х 1020 ГОСТ 17378-2001, шт</t>
  </si>
  <si>
    <t>Переход 1220 х 1020 ст 09Г2С ГОСТ 17378-2001, шт</t>
  </si>
  <si>
    <t>Переход К 500х300-1,6 ст.20 ТС 585-01, шт</t>
  </si>
  <si>
    <t>Переход К 820х530х10-ВСт3сп5, ОСТ 36-22-77, шт</t>
  </si>
  <si>
    <t>Переход П К  325х18,0-273х16,0 ст 20 ГОСТ 17378-01, шт</t>
  </si>
  <si>
    <t>Переход ЭКС 219( 8,0) х  89( 6,0) ст 09Г2С ГОСТ 17378-2001, шт</t>
  </si>
  <si>
    <t>Переход ЭКС 219( 8,0) х 159( 8,0) ГОСТ 17378-2001, шт</t>
  </si>
  <si>
    <t>Переход ЭКС 219(10,0) х 159( 8,0) ст 09Г2С ГОСТ 17378-2001, шт</t>
  </si>
  <si>
    <t>Переход ЭКС 273( 8,0) х 159( 6,0) ст 20 ГОСТ 17378-01, шт</t>
  </si>
  <si>
    <t>Переход ЭКС 273(10,0) х 159( 8,0) ст 09г2с ГОСТ 17378-2001, шт</t>
  </si>
  <si>
    <t>Переход ЭКС 273(10,0)/7,0 х 159( 8,0)/5,0 ст 20 ГОСТ 17378-2001, шт</t>
  </si>
  <si>
    <t>Переход ЭКС 273(12,0) х 108(10,0) ст 20 ГОСТ 17378-2001, шт</t>
  </si>
  <si>
    <t>Переход ЭКС 325 х 273 ГОСТ 17378-2001, шт</t>
  </si>
  <si>
    <t>Переход ЭКС 325(12,0) х 219(10,0) ст.20 ГОСТ 17378-2001, шт</t>
  </si>
  <si>
    <t>Переход ЭКС 377 х 325 ГОСТ 17378-2001, шт</t>
  </si>
  <si>
    <t>Переход ЭКС 377( 7,0) х 325( 7,0) ГОСТ 17378-2001, шт</t>
  </si>
  <si>
    <t>Переход ЭКС 377(12,0) х 219( 8,0) ст 09Г2С ГОСТ 17378-2001, шт</t>
  </si>
  <si>
    <t>Переход ЭКС 377(12,0) х 273( 12,0) ст 09Г2С  ГОСТ 17378-2001, шт</t>
  </si>
  <si>
    <t>Переход ЭКС 426 х 377 ГОСТ 17378-2001, шт</t>
  </si>
  <si>
    <t>Переход ЭКС 426(12,0) х 159( 8,0) ст 09Г2С ГОСТ 17378-2001, шт</t>
  </si>
  <si>
    <t>Переход ЭКС 426(12,0) х 159(10,0) ст 20 ГОСТ 17378-2001, шт</t>
  </si>
  <si>
    <t>Переход ЭКС 530( 6,0) х 377( 6,0) ст 20 ОСТ 36-22-77, шт</t>
  </si>
  <si>
    <t>Переход ЭКС 530(10,0) х 325(10,0) ст 20 ГОСТ 17378-2001, шт</t>
  </si>
  <si>
    <t>Переход ЭКС 530(10,0) х 426(12,0) ст 09Г2С ГОСТ 17378-2001, шт</t>
  </si>
  <si>
    <t>Переход ЭКС 530(12,0) х 377(10,0) ст 20 ГОСТ 17378-2001, шт</t>
  </si>
  <si>
    <t>Переход ЭКС 530(12,0) х 426(14,0) ст 09Г2С ГОСТ 17378-2001, шт</t>
  </si>
  <si>
    <t>Переход ЭКС 720 х 426 ГОСТ 17378-2001, шт</t>
  </si>
  <si>
    <t>Тройник  219х 108 ст 20 ГОСТ 17376-2001, шт</t>
  </si>
  <si>
    <t>Тройник  219х 133 ст 20 ГОСТ 17376-2001, шт</t>
  </si>
  <si>
    <t>Тройник  219х 8,0-108х 5 ст 20 ГОСТ 17376-2001, шт</t>
  </si>
  <si>
    <t>Тройник  219х10-108х 8,0 ст 20 ГОСТ 17376-2001, шт</t>
  </si>
  <si>
    <t>Тройник  219х12,0 ст 20 ГОСТ 17376-2001, шт</t>
  </si>
  <si>
    <t>Тройник  219х12,0- 159х10,0 ст 09Г2С ГОСТ 17376-2001, шт</t>
  </si>
  <si>
    <t>Тройник  219х14,0 ст 20 ГОСТ 17376-2001, шт</t>
  </si>
  <si>
    <t>Тройник  219х14,0-133х 10,0 ст 20 ГОСТ 17376-2001, шт</t>
  </si>
  <si>
    <t>Тройник  219х14,0-133х 6,0 ст 20 ГОСТ 17376-2001, шт</t>
  </si>
  <si>
    <t>Тройник  219х14,0-159х 6,0 ст 20 ГОСТ 17376-2001, шт</t>
  </si>
  <si>
    <t>Тройник  219х14,0-219х10,0 ст 20 ГОСТ 17376-2001, шт</t>
  </si>
  <si>
    <t>Тройник  219х16,0-159х12,0 ст 20 ГОСТ 17376-2001, шт</t>
  </si>
  <si>
    <t>Тройник  273х 219 ст 20 ГОСТ 17376-2001, шт</t>
  </si>
  <si>
    <t>Тройник  273х 8,0 ст 09Г2С ГОСТ 17376-2001, шт</t>
  </si>
  <si>
    <t>Тройник  273х 8,0 ст 20 ГОСТ 17376-2001, шт</t>
  </si>
  <si>
    <t>Тройник  273х 8,0-219х 8,0 ст 20 ГОСТ 17376-2001, шт</t>
  </si>
  <si>
    <t>Тройник  273х10 - 114х6 ст 20 ГОСТ 17376-2001, шт</t>
  </si>
  <si>
    <t>Тройник  273х10-114х 12,0 ст 20 ГОСТ 17376-2001, шт</t>
  </si>
  <si>
    <t>Тройник  273х10-159х 7 ст 09Г2С ГОСТ 17376-2001, шт</t>
  </si>
  <si>
    <t>Тройник  273х10-219х 8,0 ст 20 ГОСТ 17376-2001, шт</t>
  </si>
  <si>
    <t>Тройник  273х10-273х 10 ст 20 ГОСТ 17376-01, шт</t>
  </si>
  <si>
    <t>Тройник  273х12 ст 20 ГОСТ 17376-2001, шт</t>
  </si>
  <si>
    <t>Тройник  273х12-219х10 ст 20 ГОСТ 17376-2001, шт</t>
  </si>
  <si>
    <t>Тройник  273х14-219х 14,0 ст 20 ГОСТ 17376-2001, шт</t>
  </si>
  <si>
    <t>Тройник  273х16-159х 8 ст 20 ГОСТ 17376-2001, шт</t>
  </si>
  <si>
    <t>Тройник  273х16-159х12 ст 20 ГОСТ 17376-2001, шт</t>
  </si>
  <si>
    <t>Тройник  273х18-108х 7,0 ст 09Г2С ГОСТ 17376-2001, шт</t>
  </si>
  <si>
    <t>Тройник  273х30 ст 20 ГОСТ 17376-2001, шт</t>
  </si>
  <si>
    <t>Тройник  325х 114 ст 20 ГОСТ 17376-2001, шт</t>
  </si>
  <si>
    <t>Тройник  325х 273 ст 20 ГОСТ 17376-2001, шт</t>
  </si>
  <si>
    <t>Тройник  325х10-133х 6 ст 09Г2С ГОСТ 17376-2001 , шт</t>
  </si>
  <si>
    <t>Тройник  325х10-219х 8,0 ст 20 ГОСТ 17376-2001, шт</t>
  </si>
  <si>
    <t>Тройник  325х10-273х10 ст 09Г2С  ГОСТ 17376-2001, шт</t>
  </si>
  <si>
    <t>Тройник  325х12 ст 20 ГОСТ 17376-2001, шт</t>
  </si>
  <si>
    <t>Тройник  325х12- 89х10 ст 20 ГОСТ 17376-2001, шт</t>
  </si>
  <si>
    <t>Тройник  325х12-133х6 ст 09Г2С  ГОСТ 17376-2001, шт</t>
  </si>
  <si>
    <t>Тройник  325х12-159х 8 ст 20 ГОСТ 17376-2001, шт</t>
  </si>
  <si>
    <t>Тройник  325х12-159х12 ст 09Г2С ГОСТ 17376-2001 , шт</t>
  </si>
  <si>
    <t>Тройник  325х12-219х10 ст 09Г2С ГОСТ 17376-2001, шт</t>
  </si>
  <si>
    <t>Тройник  325х12-273х10 ст 20 ГОСТ 17376-2001, шт</t>
  </si>
  <si>
    <t>Тройник  325х14-273х12 ст 20 ГОСТ 17376-2001, шт</t>
  </si>
  <si>
    <t>Тройник  325х14-273х8 ст 09Г2С ГОСТ 17376-2001, шт</t>
  </si>
  <si>
    <t>Тройник  325х16-219х10 ст 09Г2С ГОСТ 17376-2001, шт</t>
  </si>
  <si>
    <t>Тройник  325х16-219х12 ст 20 ГОСТ 17376-2001, шт</t>
  </si>
  <si>
    <t>Тройник  325х16-273х16 ст 20 ГОСТ 17376-2001, шт</t>
  </si>
  <si>
    <t>Тройник  325х18-219х14 ст 20 ГОСТ 17376-2001, шт</t>
  </si>
  <si>
    <t>Тройник  377 ст 20 ГОСТ 17376-2001, шт</t>
  </si>
  <si>
    <t>Тройник  377- 325 ст 20 ГОСТ 17376-2001, шт</t>
  </si>
  <si>
    <t>Тройник  377х 8,0 -325х 8,0 ст 20 ГОСТ 17376-2001, шт</t>
  </si>
  <si>
    <t>Тройник  377х10,0 -325х10,0 ст 20 ГОСТ 17376-2001, шт</t>
  </si>
  <si>
    <t>Тройник  377х16-219х12 ст 20 ГОСТ 17376-2001, шт</t>
  </si>
  <si>
    <t>Тройник  426х10 ст 20 ГОСТ 17376-2001, шт</t>
  </si>
  <si>
    <t>Тройник  426х10-377х 10 ст 20 ГОСТ 17376-2001, шт</t>
  </si>
  <si>
    <t>Тройник  426х12-219х10 ст 09Г2С ГОСТ 17376-2001, шт</t>
  </si>
  <si>
    <t>Тройник  426х14 ст 20 ГОСТ 17376-2001, шт</t>
  </si>
  <si>
    <t>Тройник  426х14-219х14 ст 09Г2С ГОСТ 17376-2001 , шт</t>
  </si>
  <si>
    <t>Тройник  426х16-159х12 ст 20 ГОСТ 17376-2001, шт</t>
  </si>
  <si>
    <t>Тройник  426х16-159х6 ст 09Г2С ГОСТ 17376-2001, шт</t>
  </si>
  <si>
    <t>Тройник  426х16-219х12 ст 20 ГОСТ 17376-2001, шт</t>
  </si>
  <si>
    <t>Тройник  426х16-273х10 ст 09Г2С ГОСТ 17376-2001, шт</t>
  </si>
  <si>
    <t>Тройник  426х16-273х12 ст 20 ГОСТ 17376-2001, шт</t>
  </si>
  <si>
    <t>Тройник  426х16-325х10 ст 20 ГОСТ 17376-2001, шт</t>
  </si>
  <si>
    <t>Тройник  426х16-325х16 ст 09Г2С ГОСТ 17376-2001, шт</t>
  </si>
  <si>
    <t>Тройник  426х20 ст 20 ГОСТ 17376-2001, шт</t>
  </si>
  <si>
    <t>Тройник  426х22(16)-325х16 ст 20 ГОСТ 17376-2001, шт</t>
  </si>
  <si>
    <t>Тройник  426х24-325х18 ст 09Г2С ГОСТ 17376-2001, шт</t>
  </si>
  <si>
    <t>Тройник  426х24(14)-325х18(12) ст 20 ГОСТ 17376-2001, шт</t>
  </si>
  <si>
    <t>Тройник  426х44 ст 20 ГОСТ 17376-2001, шт</t>
  </si>
  <si>
    <t>Тройник  530х 219 ст 20 ГОСТ 17376-2001 ТСН, шт</t>
  </si>
  <si>
    <t>Тройник  530х 273 ст 20 ГОСТ 17376-2001, шт</t>
  </si>
  <si>
    <t>Тройник  530х 325 ОСТ 36-24-77, шт</t>
  </si>
  <si>
    <t>Тройник  530х 426 ОСТ 36-24-77, шт</t>
  </si>
  <si>
    <t>Тройник  530х12 ст 20 ОСТ 34.10.764-97, шт</t>
  </si>
  <si>
    <t>Тройник  530х18-273х12 ст 09Г2С  ТУ 102-488-05, шт</t>
  </si>
  <si>
    <t>Тройник  530х20-530х20 ст 09Г2С ГОСТ 17376-2001, шт</t>
  </si>
  <si>
    <t>Тройник  720х 325 ст 20 ГОСТ 17376-2001, шт</t>
  </si>
  <si>
    <t>Тройник  720х 325 ст 20 ГОСТ 17376-2001 ТСН, шт</t>
  </si>
  <si>
    <t>Тройник  720х32 ТУ 1469-006-04834179-2006, шт</t>
  </si>
  <si>
    <t>Тройник 1020х 426 ст 20 ГОСТ 17376-2001, шт</t>
  </si>
  <si>
    <t>Тройник 1020х18,0 - 426х16,0 ст 20 ГОСТ 17376-2001, шт</t>
  </si>
  <si>
    <t>Фланец  300-10-01-1-В-ст20 ГОСТ 33259-2015 , шт</t>
  </si>
  <si>
    <t>Фланец  32-16-01-1-В-ст20 ГОСТ 33259-2015 , шт</t>
  </si>
  <si>
    <t>Фланец  40-16-01-1-В-ст20 ГОСТ 33259-2015 , шт</t>
  </si>
  <si>
    <t>Фланец  Ду200 Ру10, шт</t>
  </si>
  <si>
    <t>Фланец  Ду200 Ру16, шт</t>
  </si>
  <si>
    <t>Фланец  Ду250 Ру 6, шт</t>
  </si>
  <si>
    <t>Фланец  Ду250 Ру10 БРАК, шт</t>
  </si>
  <si>
    <t>Фланец  Ду250 Ру16, шт</t>
  </si>
  <si>
    <t>Фланец  Ду250 Ру16 09Г2С , шт</t>
  </si>
  <si>
    <t>Фланец  Ду300 Ру16, шт</t>
  </si>
  <si>
    <t>Фланец  Ду300 Ру25, шт</t>
  </si>
  <si>
    <t>Фланец  Ду350 Ру10, шт</t>
  </si>
  <si>
    <t>Фланец  Ду350 Ру25, шт</t>
  </si>
  <si>
    <t>Фланец  Ду400 Ру10, шт</t>
  </si>
  <si>
    <t>Фланец  Ду400 Ру16, шт</t>
  </si>
  <si>
    <t>Фланец  Ду500 Ру10 ст 20 ГОСТ 12820-80, шт</t>
  </si>
  <si>
    <t>Фланец  Ду500 Ру16, шт</t>
  </si>
  <si>
    <t>Фланец  Ду500 Ру16 8 отверстий, шт</t>
  </si>
  <si>
    <t>Фланец  Ду600 Ру16, шт</t>
  </si>
  <si>
    <t>Фланец  Ду700 Ру16, шт</t>
  </si>
  <si>
    <t>Фланец вор 250-16-11-1-В-09Г2С ГОСТ 33259-2015, шт</t>
  </si>
  <si>
    <t>Фланец вор 400-16-11-1-B ст 09Г2С ГОСТ 33259-2015 , шт</t>
  </si>
  <si>
    <t>Фланец вор 400-16-11-1-F ст 09Г2С ГОСТ 33259-2015 , шт</t>
  </si>
  <si>
    <t>Фланец вор 600-16-11-1-B-ст09Г2С ГОСТ 33259-2015, шт</t>
  </si>
  <si>
    <t>Фланец вор 600-16-11-1-B-ст20 ГОСТ 33259-2015, шт</t>
  </si>
  <si>
    <t>Фланец вор Ду200 Ру16, шт</t>
  </si>
  <si>
    <t>Фланец вор Ду200 Ру40, шт</t>
  </si>
  <si>
    <t>Фланец вор Ду250 Ру16 09Г2С , шт</t>
  </si>
  <si>
    <t>Фланец вор Ду250 Ру25, шт</t>
  </si>
  <si>
    <t>Фланец вор Ду250 Ру40, шт</t>
  </si>
  <si>
    <t>Фланец вор Ду250 Ру63, шт</t>
  </si>
  <si>
    <t>Фланец вор Ду250 Ру63 2 исп, шт</t>
  </si>
  <si>
    <t>Фланец вор Ду250 Ру63 3 исп, шт</t>
  </si>
  <si>
    <t>Фланец вор Ду250 Ру63 ст09г2с, шт</t>
  </si>
  <si>
    <t>Фланец вор Ду300 Ру100, шт</t>
  </si>
  <si>
    <t>Фланец вор Ду300 Ру16, шт</t>
  </si>
  <si>
    <t>Фланец вор Ду300 Ру25, шт</t>
  </si>
  <si>
    <t>Фланец вор Ду300 Ру40, шт</t>
  </si>
  <si>
    <t>Фланец вор Ду300 Ру63, шт</t>
  </si>
  <si>
    <t>Фланец вор Ду350 Ру16, шт</t>
  </si>
  <si>
    <t>Фланец вор Ду350 Ру16 09Г2С, шт</t>
  </si>
  <si>
    <t>Фланец вор Ду350 Ру25, шт</t>
  </si>
  <si>
    <t>Фланец вор Ду350 Ру40, шт</t>
  </si>
  <si>
    <t>Фланец вор Ду400 Ру16, шт</t>
  </si>
  <si>
    <t>Фланец вор Ду400 Ру16 09Г2С , шт</t>
  </si>
  <si>
    <t>Фланец вор Ду400 Ру25, шт</t>
  </si>
  <si>
    <t>Фланец вор Ду400 Ру40, шт</t>
  </si>
  <si>
    <t>Фланец вор Ду400 Ру63, шт</t>
  </si>
  <si>
    <t>Фланец вор Ду500 Ру16, шт</t>
  </si>
  <si>
    <t>Фланец вор Ду500 Ру25, шт</t>
  </si>
  <si>
    <t>Фланец вор Ду600 Ру16, шт</t>
  </si>
  <si>
    <t>Фланец вор Ду600 Ру25, шт</t>
  </si>
  <si>
    <t>Фланец вор Ду700 Ру16, шт</t>
  </si>
  <si>
    <t>Фланец вор Ду800 Ру16, шт</t>
  </si>
  <si>
    <t>Фланец вор Ду800 Ру25, шт</t>
  </si>
  <si>
    <t>Фланец вор нж Ду 20 Ру16, шт</t>
  </si>
  <si>
    <t>Фланец вор нж Ду 20 Ру40, шт</t>
  </si>
  <si>
    <t>Фланец вор нж Ду 25 Ру16, шт</t>
  </si>
  <si>
    <t>Фланец вор нж Ду 32 Ру16, шт</t>
  </si>
  <si>
    <t>Фланец вор нж Ду 50 Ру16, шт</t>
  </si>
  <si>
    <t>Фланец вор нж Ду 50 Ру40, шт</t>
  </si>
  <si>
    <t>Фланец вор нж Ду 50 Ру63, шт</t>
  </si>
  <si>
    <t>Фланец вор нж Ду 80 Ру16, шт</t>
  </si>
  <si>
    <t>Фланец вор нж Ду 80 Ру25, шт</t>
  </si>
  <si>
    <t>Фланец вор нж Ду 80 Ру40, шт</t>
  </si>
  <si>
    <t>Фланец вор нж Ду 80 Ру63 ст12Х18Н10Т, шт</t>
  </si>
  <si>
    <t>Фланец вор нж Ду100 Ру16, шт</t>
  </si>
  <si>
    <t>Фланец вор нж Ду100 Ру40, шт</t>
  </si>
  <si>
    <t>Фланец вор нж Ду100 Ру63, шт</t>
  </si>
  <si>
    <t>Фланец вор нж Ду150 Ру25, шт</t>
  </si>
  <si>
    <t>Фланец вор нж Ду150 Ру40, шт</t>
  </si>
  <si>
    <t>Фланец вор нж Ду150 Ру63, шт</t>
  </si>
  <si>
    <t>Фланец вор нж Ду200 Ру 16, шт</t>
  </si>
  <si>
    <t>Фланец вор нж Ду200 Ру 25, шт</t>
  </si>
  <si>
    <t>Фланец вор нж Ду200 Ру 40, шт</t>
  </si>
  <si>
    <t>Фланец вор нж Ду200 Ру6, шт</t>
  </si>
  <si>
    <t>Фланец вор нж Ду200 Ру63, шт</t>
  </si>
  <si>
    <t>Фланец вор нж Ду250 Ру 40, шт</t>
  </si>
  <si>
    <t>Фланец вор нж Ду300 Ру16, шт</t>
  </si>
  <si>
    <t>Фланец вор нж Ду300 Ру25, шт</t>
  </si>
  <si>
    <t>Фланец вор нж Ду50 Ру 16 ст 12Х18Н10Т , шт</t>
  </si>
  <si>
    <t>Фланец нж Ду 15 Ру16, шт</t>
  </si>
  <si>
    <t>Фланец нж Ду 20 Ру16, шт</t>
  </si>
  <si>
    <t>Фланец нж Ду 32 Ру16, шт</t>
  </si>
  <si>
    <t>Фланец нж Ду 40 Ру10, шт</t>
  </si>
  <si>
    <t>Фланец нж Ду 40 Ру16, шт</t>
  </si>
  <si>
    <t>Фланец нж Ду 50 Ру25, шт</t>
  </si>
  <si>
    <t>Фланец нж Ду 50 Ру40 ст 12Х18Н9Т, шт</t>
  </si>
  <si>
    <t>Фланец нж Ду 50 Ру6, шт</t>
  </si>
  <si>
    <t>Фланец нж Ду100 Ру16, шт</t>
  </si>
  <si>
    <t>Фланец нж Ду125 Ру16, шт</t>
  </si>
  <si>
    <t>Фланец нж Ду200 Ру16, шт</t>
  </si>
  <si>
    <t>Фланец нж Ду250 Ру6, шт</t>
  </si>
  <si>
    <t>Фланец нж Ду300 Ру10, шт</t>
  </si>
  <si>
    <t>Фланец нж Ду300 Ру16, шт</t>
  </si>
  <si>
    <t>Фланец нж Ду350 Ру10, шт</t>
  </si>
  <si>
    <t>Фланец нж Ду400 Ру16, шт</t>
  </si>
  <si>
    <t>Конечный остаток</t>
  </si>
  <si>
    <t>Склад</t>
  </si>
  <si>
    <t xml:space="preserve">Заглушка   426х 14 </t>
  </si>
  <si>
    <t xml:space="preserve">Заглушка   720х 14 </t>
  </si>
  <si>
    <t xml:space="preserve">Заглушка   820х 14 </t>
  </si>
  <si>
    <t xml:space="preserve">Задвижка 30лс15нж Ду 50 </t>
  </si>
  <si>
    <t>Задвижка 30лс15нж Ду 80</t>
  </si>
  <si>
    <t xml:space="preserve">Задвижка 30лс15нж Ду100 </t>
  </si>
  <si>
    <t xml:space="preserve">Задвижка 30лс15нж Ду150 </t>
  </si>
  <si>
    <t xml:space="preserve">Задвижка 30лс41нж Ду 50 </t>
  </si>
  <si>
    <t xml:space="preserve">Задвижка 30лс41нж Ду 80 </t>
  </si>
  <si>
    <t xml:space="preserve">Задвижка 30лс41нж Ду100 </t>
  </si>
  <si>
    <t xml:space="preserve">Задвижка 30лс41нж Ду150 </t>
  </si>
  <si>
    <t xml:space="preserve">Задвижка 30лс41нж Ду200 </t>
  </si>
  <si>
    <t>Задвижка 30лс41нж Ду200</t>
  </si>
  <si>
    <t xml:space="preserve">Задвижка 30лс41нж Ду250 </t>
  </si>
  <si>
    <t xml:space="preserve">Задвижка 30нж41нж Ду 50 </t>
  </si>
  <si>
    <t>Задвижка 30нж41нж Ду100</t>
  </si>
  <si>
    <t xml:space="preserve">Задвижка 30нж41нж Ду100 </t>
  </si>
  <si>
    <t>Задвижка 30нж41нж Ду150</t>
  </si>
  <si>
    <t xml:space="preserve">Задвижка 30нж41нж Ду200 </t>
  </si>
  <si>
    <t xml:space="preserve">Задвижка 30нж41нж Ду250 </t>
  </si>
  <si>
    <t>Задвижка 30с15нж Ду 50 Ру40</t>
  </si>
  <si>
    <t>Задвижка 30с15нж Ду100 Ру40</t>
  </si>
  <si>
    <t xml:space="preserve">Задвижка 30с15нж Ду100Ру40 </t>
  </si>
  <si>
    <t xml:space="preserve">Задвижка 30с15нж Ду200 Ру40 </t>
  </si>
  <si>
    <t>Задвижка 30с15нж Ду250 Ру40</t>
  </si>
  <si>
    <t xml:space="preserve">Задвижка 30с15нж Ду250 Ру40 </t>
  </si>
  <si>
    <t xml:space="preserve">Задвижка 30с41нж Ду 50 Ру 16 </t>
  </si>
  <si>
    <t xml:space="preserve">Задвижка 30с41нж Ду 80 Ру 16 </t>
  </si>
  <si>
    <t>Задвижка 30с41нж Ду 80 Ру16</t>
  </si>
  <si>
    <t xml:space="preserve">Задвижка 30с41нж Ду100 Ру 16 </t>
  </si>
  <si>
    <t xml:space="preserve">Задвижка 30с41нж Ду150 Ру 16 </t>
  </si>
  <si>
    <t>Задвижка 30с41нж Ду200 Ру 16</t>
  </si>
  <si>
    <t xml:space="preserve">Задвижка 30с41нж Ду200 Ру16 </t>
  </si>
  <si>
    <t xml:space="preserve">Задвижка 30с41нж Ду300 Ру 16 </t>
  </si>
  <si>
    <t>Задвижка 30с64нж Ду 50</t>
  </si>
  <si>
    <t xml:space="preserve">Задвижка 30с64нж Ду 80 </t>
  </si>
  <si>
    <t xml:space="preserve">Задвижка 30с64нж Ду100 </t>
  </si>
  <si>
    <t xml:space="preserve">Задвижка 30с64нж Ду150 </t>
  </si>
  <si>
    <t xml:space="preserve">Задвижка 30с64нж Ду150 Ру 25 </t>
  </si>
  <si>
    <t xml:space="preserve">Задвижка 30с64нж Ду200 </t>
  </si>
  <si>
    <t xml:space="preserve">Задвижка 30с64нж Ду250 </t>
  </si>
  <si>
    <t xml:space="preserve">Задвижка 30с64нж Ду300 </t>
  </si>
  <si>
    <t xml:space="preserve">Задвижка 30с76нж Ду100 </t>
  </si>
  <si>
    <t xml:space="preserve">Задвижка 30с76нж Ду250 Ру 63 </t>
  </si>
  <si>
    <t xml:space="preserve">Задвижка 30с941нж Ду  50 </t>
  </si>
  <si>
    <t>Задвижка 30с941нж Ду  80</t>
  </si>
  <si>
    <t xml:space="preserve">Задвижка 30с941нж Ду  80 </t>
  </si>
  <si>
    <t xml:space="preserve">Задвижка 30с941нж Ду 100 </t>
  </si>
  <si>
    <t xml:space="preserve">Задвижка 30с941нж Ду 200 </t>
  </si>
  <si>
    <t>Задвижка 30с941нж Ду 250</t>
  </si>
  <si>
    <t xml:space="preserve">Задвижка 30с941нж Ду 300 (б) </t>
  </si>
  <si>
    <t xml:space="preserve">Задвижка 30с964нж Ду 200 </t>
  </si>
  <si>
    <t xml:space="preserve">Задвижка 30с964нж Ду 500 </t>
  </si>
  <si>
    <t xml:space="preserve">Задвижка 30с964нж Ду 600 </t>
  </si>
  <si>
    <t xml:space="preserve">Задвижка 30с976нж Ду 300 </t>
  </si>
  <si>
    <t xml:space="preserve">Задвижка 30ч6бр Ду 50 </t>
  </si>
  <si>
    <t xml:space="preserve">Затвор дисковый поворотный Ду100 Ру 16 сталь фл </t>
  </si>
  <si>
    <t>Затвор дисковый поворотный Ду125</t>
  </si>
  <si>
    <t xml:space="preserve">Затвор дисковый поворотный Ду150 </t>
  </si>
  <si>
    <t xml:space="preserve">Затвор дисковый поворотный Ду500 Ру 16 (с редуктором) </t>
  </si>
  <si>
    <t xml:space="preserve">Затвор дисковый поворотный Ду500 Ру 16 сталь фл </t>
  </si>
  <si>
    <t xml:space="preserve">Клапан 19лс53нж Ду 150 </t>
  </si>
  <si>
    <t>Клапан 19лс53нж Ду 80</t>
  </si>
  <si>
    <t xml:space="preserve">Клапан 19с53нж Ду 80 </t>
  </si>
  <si>
    <t xml:space="preserve">Клапан 19с53нж Ду200 </t>
  </si>
  <si>
    <t xml:space="preserve">Заглушка   325х14 </t>
  </si>
  <si>
    <t xml:space="preserve">Заглушка   325х14 ст 09Г2С </t>
  </si>
  <si>
    <t xml:space="preserve">Заглушка   426х 16 </t>
  </si>
  <si>
    <t xml:space="preserve">Заглушка   426х 16 ст 09Г2С </t>
  </si>
  <si>
    <t xml:space="preserve">Заглушка   426х 20 09Г2С </t>
  </si>
  <si>
    <t xml:space="preserve">Заглушка   426х 20 </t>
  </si>
  <si>
    <t xml:space="preserve">Заглушка   530х 10 09Г2С </t>
  </si>
  <si>
    <t xml:space="preserve">Заглушка   530х 12 09Г2С </t>
  </si>
  <si>
    <t>Заглушка   530х 12</t>
  </si>
  <si>
    <t xml:space="preserve">Заглушка   530х 14 </t>
  </si>
  <si>
    <t xml:space="preserve">Заглушка   530х 25 09Г2С </t>
  </si>
  <si>
    <t xml:space="preserve">Заглушка   630х12 09Г2С </t>
  </si>
  <si>
    <t>Заглушка   630х14 09Г2С</t>
  </si>
  <si>
    <t xml:space="preserve">Заглушка   630х14 </t>
  </si>
  <si>
    <t xml:space="preserve">Заглушка   630х25 09Г2С </t>
  </si>
  <si>
    <t xml:space="preserve">Заглушка   720х 10 09Г2С </t>
  </si>
  <si>
    <t xml:space="preserve">Заглушка   720х 10 </t>
  </si>
  <si>
    <t xml:space="preserve">Заглушка   720х 12 09Г2С </t>
  </si>
  <si>
    <t>Заглушка   720х 12</t>
  </si>
  <si>
    <t xml:space="preserve">Заглушка   720х 16 </t>
  </si>
  <si>
    <t xml:space="preserve">Заглушка   820х 10 09Г2С </t>
  </si>
  <si>
    <t xml:space="preserve">Заглушка   820х 10 </t>
  </si>
  <si>
    <t xml:space="preserve">Заглушка   820х 12 09Г2С </t>
  </si>
  <si>
    <t xml:space="preserve">Заглушка   820х 12 </t>
  </si>
  <si>
    <t xml:space="preserve">Заглушка   820х 16 </t>
  </si>
  <si>
    <t>Заглушка  1020х20</t>
  </si>
  <si>
    <t xml:space="preserve">Заглушка  1020х24 </t>
  </si>
  <si>
    <t>Заглушка  1220х20</t>
  </si>
  <si>
    <t xml:space="preserve">Заглушка  1220х24 </t>
  </si>
  <si>
    <t xml:space="preserve">Заглушка  1420х24 </t>
  </si>
  <si>
    <t>Задвижка 30лс15нж Ду150 Ру 40</t>
  </si>
  <si>
    <t>Задвижка 30лс41нж Ду 50</t>
  </si>
  <si>
    <t>Задвижка 30лс41нж Ду250</t>
  </si>
  <si>
    <t xml:space="preserve">Задвижка 30лс41нж Ду300 </t>
  </si>
  <si>
    <t xml:space="preserve">Задвижка 30лс941нж Ду400 Ру16 </t>
  </si>
  <si>
    <t>Задвижка 30лс941нж Ду500 Ру 16</t>
  </si>
  <si>
    <t>Задвижка 30нж41нж Ду 50</t>
  </si>
  <si>
    <t xml:space="preserve">Задвижка 30нж41нж Ду 80 </t>
  </si>
  <si>
    <t>Задвижка 30с15нж Ду 80 Ру40</t>
  </si>
  <si>
    <t>Задвижка 30с15нж Ду150 Ру40</t>
  </si>
  <si>
    <t>Задвижка 30с15нж Ду200 Ру40</t>
  </si>
  <si>
    <t>Задвижка 30с41нж Ду 50 Ру 16</t>
  </si>
  <si>
    <t>Задвижка 30с41нж Ду125</t>
  </si>
  <si>
    <t>Задвижка 30с41нж Ду300 Ру 16</t>
  </si>
  <si>
    <t>Задвижка 30с64нж Ду 80</t>
  </si>
  <si>
    <t>Задвижка 30с64нж Ду200 Ру25</t>
  </si>
  <si>
    <t>Задвижка 30с64нж Ду250</t>
  </si>
  <si>
    <t xml:space="preserve">Задвижка 30с64нж Ду300 Ру25 </t>
  </si>
  <si>
    <t>Задвижка 30с64нж Ду350</t>
  </si>
  <si>
    <t>Задвижка 30с76нж Ду 50</t>
  </si>
  <si>
    <t xml:space="preserve">Задвижка 30с76нж Ду 80 </t>
  </si>
  <si>
    <t>Задвижка 30с76нж Ду250</t>
  </si>
  <si>
    <t>Задвижка 30с915нж Ду200 (б)</t>
  </si>
  <si>
    <t xml:space="preserve">Задвижка 30с915нж Ду300 </t>
  </si>
  <si>
    <t>Задвижка 30с941нж Ду  50</t>
  </si>
  <si>
    <t>Задвижка 30с941нж Ду 100</t>
  </si>
  <si>
    <t>Задвижка 30с941нж Ду 200 (б)</t>
  </si>
  <si>
    <t>Задвижка 30с941нж Ду 300 (б)</t>
  </si>
  <si>
    <t xml:space="preserve">Задвижка 30с941нж Ду1000 </t>
  </si>
  <si>
    <t>Задвижка 30с942р Ду800 (Г)</t>
  </si>
  <si>
    <t>Задвижка 30с964нж Ду 250</t>
  </si>
  <si>
    <t>Задвижка 30с964нж Ду 400</t>
  </si>
  <si>
    <t xml:space="preserve">Задвижка 30с964нж Ду1000 Ру 25 </t>
  </si>
  <si>
    <t>Задвижка 30с976нж Ду 250</t>
  </si>
  <si>
    <t>Задвижка 30ч6бр Ду 80</t>
  </si>
  <si>
    <t>Задвижка 30ч6бр Ду200</t>
  </si>
  <si>
    <t xml:space="preserve">Задвижка 30ч6бр Ду400 </t>
  </si>
  <si>
    <t xml:space="preserve">Задвижка 30ч906бр Ду300 (тип Б без э/п) </t>
  </si>
  <si>
    <t xml:space="preserve">Затвор дисковый поворотный Ду 50 </t>
  </si>
  <si>
    <t xml:space="preserve">Затвор дисковый поворотный Ду 80 </t>
  </si>
  <si>
    <t>Затвор дисковый поворотный Ду100</t>
  </si>
  <si>
    <t xml:space="preserve">Затвор дисковый поворотный Ду150 Ру 16 </t>
  </si>
  <si>
    <t xml:space="preserve">Затвор дисковый поворотный Ду200 </t>
  </si>
  <si>
    <t xml:space="preserve">Затвор дисковый поворотный Ду200 Ру 16 </t>
  </si>
  <si>
    <t>Затвор дисковый поворотный Ду250 Ру 16 сталь фл</t>
  </si>
  <si>
    <t xml:space="preserve">Затвор дисковый поворотный Ду500 Ру 16 сталь фл (с редуктором)  </t>
  </si>
  <si>
    <t>Затвор дисковый поворотный Ду600 Ру 16 сталь фл</t>
  </si>
  <si>
    <t xml:space="preserve">Клапан 19нж53нж Ду 80 </t>
  </si>
  <si>
    <t>Клапан 19с53нж Ду100</t>
  </si>
  <si>
    <t>Клапан 19с53нж Ду150</t>
  </si>
  <si>
    <t xml:space="preserve">Клапан 19с53нж Ду300  </t>
  </si>
  <si>
    <t>Клапан 19с76нж Ду 80</t>
  </si>
  <si>
    <t>Клапан 19ч21бр Ду 80</t>
  </si>
  <si>
    <t>Клапан 19ч21бр Ду100</t>
  </si>
  <si>
    <t>Клапан 19ч21бр Ду400</t>
  </si>
  <si>
    <t xml:space="preserve">Кран 11б27п Ду15 </t>
  </si>
  <si>
    <t xml:space="preserve">Кран 11б27п Ду25 </t>
  </si>
  <si>
    <t xml:space="preserve">Кран 11б27п Ду32 </t>
  </si>
  <si>
    <t xml:space="preserve">Кран 11б27п Ду40 </t>
  </si>
  <si>
    <t xml:space="preserve">Кран шаровый Ду 50 </t>
  </si>
  <si>
    <t>КШЦП Ду 15 Ру16-40</t>
  </si>
  <si>
    <t xml:space="preserve">КШЦП Ду 25 Ру16-40 </t>
  </si>
  <si>
    <t>КШЦП Ду 40 Ру16-40</t>
  </si>
  <si>
    <t xml:space="preserve">КШЦФ Ду200 Ру25 </t>
  </si>
  <si>
    <t xml:space="preserve">ОГ Отвод Ду 720  15 гр </t>
  </si>
  <si>
    <t>Отвод  219х 8  R1,5D 09Г2С</t>
  </si>
  <si>
    <t xml:space="preserve">Отвод  219х 8  R1,5D 12Х18Н10Т </t>
  </si>
  <si>
    <t xml:space="preserve">Отвод  219х 8  R1,5D </t>
  </si>
  <si>
    <t>Отвод  219х 8 R1D</t>
  </si>
  <si>
    <t>Отвод  219х10 R1,0 D (бесшовный)</t>
  </si>
  <si>
    <t xml:space="preserve">Отвод  219х10 R1,5 </t>
  </si>
  <si>
    <t xml:space="preserve">Отвод  219х10 R1,5D 09Г2С </t>
  </si>
  <si>
    <t xml:space="preserve">Отвод  219х10,R 1.5D ст 12Х18Н10Т </t>
  </si>
  <si>
    <t>Отвод  219х12  R1,5D</t>
  </si>
  <si>
    <t xml:space="preserve">Отвод  219х12  R1.5D 09Г2С </t>
  </si>
  <si>
    <t xml:space="preserve">Отвод  219х14  R1,5D </t>
  </si>
  <si>
    <t xml:space="preserve">Отвод  219х14  R1.5D 09Г2С </t>
  </si>
  <si>
    <t>Отвод  219х16  R1,5D 09Г2С</t>
  </si>
  <si>
    <t>Отвод  219х18  R1,5D</t>
  </si>
  <si>
    <t>Отвод  219х20  R1,5D 09Г2С</t>
  </si>
  <si>
    <t>Отвод  219х20  R1,5D</t>
  </si>
  <si>
    <t xml:space="preserve">Отвод  273х 6 R1,5D 09Г2С </t>
  </si>
  <si>
    <t xml:space="preserve">Отвод  273х 6 R1,5D </t>
  </si>
  <si>
    <t xml:space="preserve">Отвод  273х 7 R1,5D 09Г2С </t>
  </si>
  <si>
    <t xml:space="preserve">Отвод  273х 7 R1,5D </t>
  </si>
  <si>
    <t xml:space="preserve">Отвод  273х 8 R1,5D 09Г2С </t>
  </si>
  <si>
    <t>Отвод  273х 8 R1,5D</t>
  </si>
  <si>
    <t xml:space="preserve">Отвод  273х10 R1,5D 09Г2С </t>
  </si>
  <si>
    <t xml:space="preserve">Отвод  273х10 R1,5D </t>
  </si>
  <si>
    <t xml:space="preserve">Отвод  273х10 R1D </t>
  </si>
  <si>
    <t xml:space="preserve">Отвод  273х12 R1,5D 09Г2С </t>
  </si>
  <si>
    <t>Отвод  273х12 R1,5D</t>
  </si>
  <si>
    <t xml:space="preserve">Отвод  273х12 R1D </t>
  </si>
  <si>
    <t xml:space="preserve">Отвод  273х14 R1,5D </t>
  </si>
  <si>
    <t>Отвод  273х16 R1,5D 09Г2С</t>
  </si>
  <si>
    <t xml:space="preserve">Отвод  273х16 R1,5D </t>
  </si>
  <si>
    <t xml:space="preserve">Отвод  325х 8,0 R1,5 12Х18Н10Т </t>
  </si>
  <si>
    <t xml:space="preserve">Отвод  325х 8,0 R1,5D 09Г2С </t>
  </si>
  <si>
    <t xml:space="preserve">Отвод  325х 8,0 R1D </t>
  </si>
  <si>
    <t xml:space="preserve">Отвод  325х10 R1 </t>
  </si>
  <si>
    <t>Отвод  325х10 R1,5 09Г2С</t>
  </si>
  <si>
    <t>Отвод  325х10 R1,5 12Х18Н10Т</t>
  </si>
  <si>
    <t xml:space="preserve">Отвод  325х10 R1,5 </t>
  </si>
  <si>
    <t>Отвод  325х12 R1,5 09Г2С</t>
  </si>
  <si>
    <t xml:space="preserve">Отвод  325х12 R1,5 12Х18Н10Т </t>
  </si>
  <si>
    <t xml:space="preserve">Отвод  325х12 R1,5 </t>
  </si>
  <si>
    <t xml:space="preserve">Отвод  325х14 R1,5 09Г2С </t>
  </si>
  <si>
    <t>Отвод  325х14 R1,5</t>
  </si>
  <si>
    <t xml:space="preserve">Отвод  325х16 R1,5 </t>
  </si>
  <si>
    <t xml:space="preserve">Отвод  325х18 R1,5 </t>
  </si>
  <si>
    <t>Отвод  325х18 R1,5D 09Г2С</t>
  </si>
  <si>
    <t xml:space="preserve">Отвод  325х20 R1,5 ст 09Г2С </t>
  </si>
  <si>
    <t xml:space="preserve">Отвод  325х20 R1,5D (бесшовные) </t>
  </si>
  <si>
    <t xml:space="preserve">Отвод  377х 8 R1,5D 09Г2С </t>
  </si>
  <si>
    <t>Отвод  377х 8 R1,5D</t>
  </si>
  <si>
    <t xml:space="preserve">Отвод  377х 8,0 R1 D </t>
  </si>
  <si>
    <t>Отвод  377х10 R1,5D 09Г2С</t>
  </si>
  <si>
    <t xml:space="preserve">Отвод  377х10 R1,5D </t>
  </si>
  <si>
    <t xml:space="preserve">Отвод  377х10 R1D 09Г2С </t>
  </si>
  <si>
    <t xml:space="preserve">Отвод  377х12 R1 D </t>
  </si>
  <si>
    <t>Отвод  377х12 R1,5D 09Г2С</t>
  </si>
  <si>
    <t xml:space="preserve">Отвод  377х12 R1,5D </t>
  </si>
  <si>
    <t>Отвод  377х14 R1,5D 09Г2С</t>
  </si>
  <si>
    <t>Отвод  377х14 R1,5D</t>
  </si>
  <si>
    <t>Отвод  377х16 R1,5D 09Г2С</t>
  </si>
  <si>
    <t xml:space="preserve">Отвод  377х16 R1,5D </t>
  </si>
  <si>
    <t xml:space="preserve">Отвод  426х 8 R1,5 12Х18Н10Т </t>
  </si>
  <si>
    <t xml:space="preserve">Отвод  426х 8 R1,5D 09Г2С </t>
  </si>
  <si>
    <t xml:space="preserve">Отвод  426х 8 R1,5D </t>
  </si>
  <si>
    <t xml:space="preserve">Отвод  426х 8 R1D </t>
  </si>
  <si>
    <t>Отвод  426х 8 R1D ст 12Х18Н10Т</t>
  </si>
  <si>
    <t>Отвод  426х 9 R1,5D</t>
  </si>
  <si>
    <t xml:space="preserve">Отвод  426х10 R1,5 12Х18Н10Т </t>
  </si>
  <si>
    <t>Отвод  426х10 R1,5D 09Г2С</t>
  </si>
  <si>
    <t xml:space="preserve">Отвод  426х10 R1,5D </t>
  </si>
  <si>
    <t>Отвод  426х12 R1,5D 09Г2С</t>
  </si>
  <si>
    <t xml:space="preserve">Отвод  426х12 R1,5D </t>
  </si>
  <si>
    <t xml:space="preserve">Отвод  426х12 R1D (бесшовные) </t>
  </si>
  <si>
    <t xml:space="preserve">Отвод  426х12 R1D </t>
  </si>
  <si>
    <t xml:space="preserve">Отвод  426х12 R1D О9Г2С </t>
  </si>
  <si>
    <t xml:space="preserve">Отвод  426х14 R1,5D </t>
  </si>
  <si>
    <t>Отвод  426х16 R1,5D</t>
  </si>
  <si>
    <t>Отвод  426х20 R1,5D 09Г2С</t>
  </si>
  <si>
    <t>Отвод  426х20 R1,5D</t>
  </si>
  <si>
    <t xml:space="preserve">Отвод  426х22 R1,5D 09Г2С </t>
  </si>
  <si>
    <t>Отвод  426х26 R1,5D 09Г2С</t>
  </si>
  <si>
    <t>Отвод  426х28 R1,5D 09Г2С</t>
  </si>
  <si>
    <t>Отвод  426х30 R1,5D 09Г2С</t>
  </si>
  <si>
    <t xml:space="preserve">Отвод  530х 8 R1,5 12Х18Н10Т </t>
  </si>
  <si>
    <t xml:space="preserve">Отвод  530х10 R1,5D (бесшовные) </t>
  </si>
  <si>
    <t xml:space="preserve">Отвод  530х10 R1,5D </t>
  </si>
  <si>
    <t>Отвод  530х10 R1D 09Г2С (бесшовные)</t>
  </si>
  <si>
    <t xml:space="preserve">Отвод  530х10 R1D 09Г2С </t>
  </si>
  <si>
    <t xml:space="preserve">Отвод  530х10 R1D 12Х18Н10Т </t>
  </si>
  <si>
    <t xml:space="preserve">Отвод  530х10 R1D </t>
  </si>
  <si>
    <t>Отвод  530х10 R1D (2 шва)</t>
  </si>
  <si>
    <t xml:space="preserve">Отвод  530х12 R1,5D (бесшовные) </t>
  </si>
  <si>
    <t xml:space="preserve">Отвод  530х12 R1,5D 09Г2С (бесшовные) </t>
  </si>
  <si>
    <t xml:space="preserve">Отвод  530х12 R1,5D </t>
  </si>
  <si>
    <t xml:space="preserve">Отвод  530х12 R1D 09Г2С (бесшовные) </t>
  </si>
  <si>
    <t>Отвод  530х12 R1D 09Г2С</t>
  </si>
  <si>
    <t xml:space="preserve">Отвод  530х12 R1D </t>
  </si>
  <si>
    <t xml:space="preserve">Отвод  530х14 R1,5 </t>
  </si>
  <si>
    <t>Отвод  530х14 R1,5 D (бесшовные)</t>
  </si>
  <si>
    <t xml:space="preserve">Отвод  530х14 R1D  09Г2С </t>
  </si>
  <si>
    <t xml:space="preserve">Отвод  530х14 R1D </t>
  </si>
  <si>
    <t>Отвод  530х14 R1D (2 шва)</t>
  </si>
  <si>
    <t xml:space="preserve">Отвод  530х16 R1D (бесшовные) </t>
  </si>
  <si>
    <t xml:space="preserve">Отвод  530х22 R1,5D (бесшовные) </t>
  </si>
  <si>
    <t xml:space="preserve">Отвод  530х24 R1,5 D (бесшовные) 09Г2С </t>
  </si>
  <si>
    <t xml:space="preserve">Отвод  530х26 R1D (бесшовные) </t>
  </si>
  <si>
    <t>Отвод  630х 8 R1,5 SS321</t>
  </si>
  <si>
    <t xml:space="preserve">Отвод  630х 9,0 R1 SS321 </t>
  </si>
  <si>
    <t xml:space="preserve">Отвод  630х10 45гр ст 12Х18Н10Т R1.5 </t>
  </si>
  <si>
    <t xml:space="preserve">Отвод  630х10 R1,5D 09Г2С (бесшовные) </t>
  </si>
  <si>
    <t>Отвод  630х10 R1,5D (бесшовные)</t>
  </si>
  <si>
    <t xml:space="preserve">Отвод  630х10 R1D 09Г2С (бесшовные) </t>
  </si>
  <si>
    <t xml:space="preserve">Отвод  630х10 R1D 12Х18Н10Т </t>
  </si>
  <si>
    <t>Отвод  630х10 R1D</t>
  </si>
  <si>
    <t>Отвод  630х12 R1,5D</t>
  </si>
  <si>
    <t>Отвод  630х12 R1,5D ст 09Г2С (бесшовные)</t>
  </si>
  <si>
    <t>Отвод  630х12 R1,5D ст 09Г2С</t>
  </si>
  <si>
    <t xml:space="preserve">Отвод  630х12 R1D </t>
  </si>
  <si>
    <t xml:space="preserve">Отвод  630х12 R1D ст 09Г2С </t>
  </si>
  <si>
    <t xml:space="preserve">Отвод  630х14 R1,5D (бесшовные) </t>
  </si>
  <si>
    <t>Отвод  630х14 R1,5D ст 09Г2С (бесшовные)</t>
  </si>
  <si>
    <t xml:space="preserve">Отвод  630х14 R1D ст 09Г2С </t>
  </si>
  <si>
    <t>Отвод  630х16 R1,5D (бесшовные)</t>
  </si>
  <si>
    <t>Отвод  630х16 R1,5D ст 09Г2С (бесшовные)</t>
  </si>
  <si>
    <t xml:space="preserve">Отвод  630х16 R1D (бесшовные) </t>
  </si>
  <si>
    <t>Отвод  630х20 R1,5D ст 09Г2С</t>
  </si>
  <si>
    <t xml:space="preserve">Отвод  720х10 R1,5D (бесшовные) </t>
  </si>
  <si>
    <t xml:space="preserve">Отвод  720х10 R1,5D (бесшовные) ст 09Г2С </t>
  </si>
  <si>
    <t>Отвод  720х10 R1D (два шва)</t>
  </si>
  <si>
    <t xml:space="preserve">Отвод  720х10 R1D </t>
  </si>
  <si>
    <t xml:space="preserve">Отвод  720х12 R1,5D (бесшовные) </t>
  </si>
  <si>
    <t xml:space="preserve">Отвод  720х12 R1,5D 09Г2С (бесшовные) </t>
  </si>
  <si>
    <t>Отвод  720х12 R1,5D 09Г2С (два шва)</t>
  </si>
  <si>
    <t xml:space="preserve">Отвод  720х12 R1D (бесшовные) </t>
  </si>
  <si>
    <t xml:space="preserve">Отвод  720х14 R1,5D (бесшовные) </t>
  </si>
  <si>
    <t xml:space="preserve">Отвод  720х14 R1,5D (два шва) </t>
  </si>
  <si>
    <t xml:space="preserve">Отвод  720х14 R1,5D ст 09Г2С (бесшовные) </t>
  </si>
  <si>
    <t xml:space="preserve">Отвод  720х14 R1D (бесшовные) </t>
  </si>
  <si>
    <t xml:space="preserve">Отвод  720х14 R1D 09Г2С (бесшовные) </t>
  </si>
  <si>
    <t xml:space="preserve">Отвод  720х14 R1D </t>
  </si>
  <si>
    <t xml:space="preserve">Отвод  720х16 R1,5D 09Г2С (два шва) </t>
  </si>
  <si>
    <t xml:space="preserve">Отвод  720х16 R1,5D 09Г2С </t>
  </si>
  <si>
    <t>Отвод  720х16 R1,5D</t>
  </si>
  <si>
    <t xml:space="preserve">Отвод  720х16 R1D (два шва) </t>
  </si>
  <si>
    <t xml:space="preserve">Отвод  720х18 R1,5D (два шва) ст 09Г2С </t>
  </si>
  <si>
    <t>Отвод  720х22 R1,5D (два шва) 09Г2С</t>
  </si>
  <si>
    <t xml:space="preserve">Отвод  820х10 R1,5D (бесшовные) 09Г2С </t>
  </si>
  <si>
    <t xml:space="preserve">Отвод  820х10 R1,5D (бесшовные) </t>
  </si>
  <si>
    <t xml:space="preserve">Отвод  820х10 R1,5D </t>
  </si>
  <si>
    <t xml:space="preserve">Отвод  820х10 R1D (два шва) </t>
  </si>
  <si>
    <t xml:space="preserve">Отвод  820х10 R1D 09Г2С (бесшовные) </t>
  </si>
  <si>
    <t xml:space="preserve">Отвод  820х10 R1D 09Г2С </t>
  </si>
  <si>
    <t xml:space="preserve">Отвод  820х12 R1,5D (бесшовные) </t>
  </si>
  <si>
    <t xml:space="preserve">Отвод  820х12 R1,5D 09Г2С (бесшовные) </t>
  </si>
  <si>
    <t xml:space="preserve">Отвод  820х12 R1,5D 09Г2С (два шва) </t>
  </si>
  <si>
    <t xml:space="preserve">Отвод  820х12 R1,5D </t>
  </si>
  <si>
    <t xml:space="preserve">Отвод  820х12 R1D 09Г2С </t>
  </si>
  <si>
    <t xml:space="preserve">Отвод  820х12 R1D </t>
  </si>
  <si>
    <t xml:space="preserve">Отвод  820х14 R1,5D (два шва) </t>
  </si>
  <si>
    <t>Отвод  820х14 R1,5D ст 09Г2С (два шва)</t>
  </si>
  <si>
    <t xml:space="preserve">Отвод  820х14 R1D (бесшовные) </t>
  </si>
  <si>
    <t xml:space="preserve">Отвод  820х14 R1D 09Г2С </t>
  </si>
  <si>
    <t>Отвод  820х20 R1,5D(два шва) 09Г2С</t>
  </si>
  <si>
    <t xml:space="preserve">Отвод  820х20 R1,5D(два шва) ст 20 </t>
  </si>
  <si>
    <t xml:space="preserve">Отвод 1020х16 R1,5D 09Г2С </t>
  </si>
  <si>
    <t>Переход  325(12,0) х 159( 8,0)</t>
  </si>
  <si>
    <t>Переход  325(12,0) х 219( 10,0) 09Г2С</t>
  </si>
  <si>
    <t>Переход  325(12,0) х 219( 10,0)</t>
  </si>
  <si>
    <t>Переход  325(16,0) х 219(14,0) 09Г2С</t>
  </si>
  <si>
    <t xml:space="preserve">Переход  325(24,0) х 219(22,0) 09Г2С </t>
  </si>
  <si>
    <t xml:space="preserve">Переход  325(24,0) х 273(22,0) 09Г2С </t>
  </si>
  <si>
    <t>Переход  377( 8,0) х 159( 4,5)</t>
  </si>
  <si>
    <t xml:space="preserve">Переход  377( 8,0) х 159( 6,0) </t>
  </si>
  <si>
    <t xml:space="preserve">Переход  377( 8,0) х 219( 6,0) 09Г2С </t>
  </si>
  <si>
    <t xml:space="preserve">Переход  377( 8,0) х 219( 8,0) 09Г2С </t>
  </si>
  <si>
    <t>Переход  377( 8,0) х 219( 8,0)</t>
  </si>
  <si>
    <t xml:space="preserve">Переход  377( 8,0) х 273( 6,0) </t>
  </si>
  <si>
    <t xml:space="preserve">Переход  377(10,0) х 159( 8,0) 09Г2С </t>
  </si>
  <si>
    <t xml:space="preserve">Переход  377(10,0) х 159(10,0) 09Г2С </t>
  </si>
  <si>
    <t xml:space="preserve">Переход  377(10,0) х 159(10,0) </t>
  </si>
  <si>
    <t xml:space="preserve">Переход  377(10,0) х 219( 8,0) 09Г2С </t>
  </si>
  <si>
    <t xml:space="preserve">Переход  377(10,0) х 219( 8,0) </t>
  </si>
  <si>
    <t>Переход  377(10,0) х 273(10,0) 09Г2С</t>
  </si>
  <si>
    <t>Переход  377(10,0) х 273(10,0)</t>
  </si>
  <si>
    <t xml:space="preserve">Переход  377(10,0) х 325(10,0) </t>
  </si>
  <si>
    <t>Переход  377(10,0) х 325(10,0) ст 09Г2С</t>
  </si>
  <si>
    <t xml:space="preserve">Переход  377(12,0) х 159(10,0) 09Г2С </t>
  </si>
  <si>
    <t xml:space="preserve">Переход  377(12,0) х 159(10,0) </t>
  </si>
  <si>
    <t>Переход  377(12,0) х 219(10,0)</t>
  </si>
  <si>
    <t xml:space="preserve">Переход  377(12,0) х 273(10,0) 09Г2С </t>
  </si>
  <si>
    <t xml:space="preserve">Переход  377(12,0) х 273(10,0) </t>
  </si>
  <si>
    <t xml:space="preserve">Переход  377(12,0) х 273(12,0) 09Г2С </t>
  </si>
  <si>
    <t xml:space="preserve">Переход  377(12,0) х 325(12,0) 09Г2С </t>
  </si>
  <si>
    <t xml:space="preserve">Переход  377(12,0) х 325(12,0) </t>
  </si>
  <si>
    <t>Переход  377(14,0) х 219(12,0) 09Г2С</t>
  </si>
  <si>
    <t xml:space="preserve">Переход  377(14,0) х 219(12,0) </t>
  </si>
  <si>
    <t xml:space="preserve">Переход  377(14,0) х 325(12,0) 09Г2С </t>
  </si>
  <si>
    <t>Переход  426(10,0) х 159(10,0) 09Г2С</t>
  </si>
  <si>
    <t xml:space="preserve">Переход  426(10,0) х 159(10,0) </t>
  </si>
  <si>
    <t xml:space="preserve">Переход  426(10,0) х 219( 8,0) </t>
  </si>
  <si>
    <t xml:space="preserve">Переход  426(10,0) х 219(10,0) 09Г2С </t>
  </si>
  <si>
    <t xml:space="preserve">Переход  426(10,0) х 219(10,0) </t>
  </si>
  <si>
    <t xml:space="preserve">Переход  426(10,0) х 273( 8,0) 09Г2С </t>
  </si>
  <si>
    <t xml:space="preserve">Переход  426(10,0) х 325( 8,0) </t>
  </si>
  <si>
    <t>Переход  426(10,0) х 325(10,0) 09Г2С</t>
  </si>
  <si>
    <t xml:space="preserve">Переход  426(10,0) х 325(10,0) </t>
  </si>
  <si>
    <t xml:space="preserve">Переход  426(12,0) х 159(10,0) </t>
  </si>
  <si>
    <t xml:space="preserve">Переход  426(12,0) х 159(12,0) 09Г2С </t>
  </si>
  <si>
    <t xml:space="preserve">Переход  426(12,0) х 159(12,0) </t>
  </si>
  <si>
    <t>Переход  426(12,0) х 219(10,0) 09Г2С</t>
  </si>
  <si>
    <t>Переход  426(12,0) х 219(10,0)</t>
  </si>
  <si>
    <t>Переход  426(12,0) х 219(12,0) 09Г2С</t>
  </si>
  <si>
    <t>Переход  426(12,0) х 273(10,0) 09Г2С</t>
  </si>
  <si>
    <t xml:space="preserve">Переход  426(12,0) х 273(10,0) </t>
  </si>
  <si>
    <t xml:space="preserve">Переход  426(12,0) х 273(12,0) 09Г2С </t>
  </si>
  <si>
    <t xml:space="preserve">Переход  426(12,0) х 273(12,0) </t>
  </si>
  <si>
    <t>Переход  426(12,0) х 325(10,0) 09Г2С</t>
  </si>
  <si>
    <t xml:space="preserve">Переход  426(12,0) х 325(10,0) 12Х18Н10Т </t>
  </si>
  <si>
    <t xml:space="preserve">Переход  426(12,0) х 325(10,0) </t>
  </si>
  <si>
    <t xml:space="preserve">Переход  426(12,0) х 325(12,0) 09Г2С </t>
  </si>
  <si>
    <t xml:space="preserve">Переход  426(12,0) х 377(10,0) </t>
  </si>
  <si>
    <t>Переход  426(12,0) х 377(12,0) 09Г2С</t>
  </si>
  <si>
    <t xml:space="preserve">Переход  426(12,0) х 377(12,0) </t>
  </si>
  <si>
    <t xml:space="preserve">Переход  426(14,0) х 325(14,0) </t>
  </si>
  <si>
    <t xml:space="preserve">Переход  426(16,0) х 325(16,0) 09Г2С </t>
  </si>
  <si>
    <t xml:space="preserve">Переход  426(16,0) х 325(16,0) </t>
  </si>
  <si>
    <t xml:space="preserve">Переход  530(10,0) х 426(10,0) </t>
  </si>
  <si>
    <t xml:space="preserve">Переход  530(12,0) х 159(10,0) </t>
  </si>
  <si>
    <t xml:space="preserve">Переход  530(12,0) х 219(10,0) 09Г2С </t>
  </si>
  <si>
    <t xml:space="preserve">Переход  530(12,0) х 219(10,0) </t>
  </si>
  <si>
    <t xml:space="preserve">Переход  530(12,0) х 219(12,0) </t>
  </si>
  <si>
    <t>Переход  530(12,0) х 325(10,0) 09Г2С</t>
  </si>
  <si>
    <t xml:space="preserve">Переход  530(12,0) х 426(12,0) 09Г2С </t>
  </si>
  <si>
    <t>Переход  530(14,0) х 273(10,0) 09Г2С</t>
  </si>
  <si>
    <t>Переход  630(12,0) х 325(10,0) 09Г2С</t>
  </si>
  <si>
    <t xml:space="preserve">Переход  630(12,0) х 325(12,0) 09Г2С </t>
  </si>
  <si>
    <t xml:space="preserve">Переход  630(12,0) х 377(10,0) </t>
  </si>
  <si>
    <t xml:space="preserve">Переход  630(12,0) х 530(12,0) 09Г2С </t>
  </si>
  <si>
    <t xml:space="preserve">Переход  630(12,0) х 530(12,0) </t>
  </si>
  <si>
    <t xml:space="preserve">Переход  630(14,0) х 530(14,0) </t>
  </si>
  <si>
    <t xml:space="preserve">Переход  720(10,0) х 530(10,0) </t>
  </si>
  <si>
    <t xml:space="preserve">Переход  720(14,0) х 426(14,0) </t>
  </si>
  <si>
    <t xml:space="preserve">Переход  720(14,0) х 630(14,0) </t>
  </si>
  <si>
    <t xml:space="preserve">Переход  820(14,0) х 630(12,0) </t>
  </si>
  <si>
    <t xml:space="preserve">Переход  820(14,0) х 720(14,0) </t>
  </si>
  <si>
    <t xml:space="preserve">Переход ЭКС 219( 6,0) х 108( 6,0) </t>
  </si>
  <si>
    <t xml:space="preserve">Переход ЭКС 219( 8,0) х  76( 6,0) 09Г2С </t>
  </si>
  <si>
    <t xml:space="preserve">Переход ЭКС 219( 8,0) х  76( 6,0) </t>
  </si>
  <si>
    <t xml:space="preserve">Переход ЭКС 219( 8,0) х  89( 6,0) </t>
  </si>
  <si>
    <t>Переход ЭКС 219( 8,0) х 108( 6,0) 09Г2С</t>
  </si>
  <si>
    <t xml:space="preserve">Переход ЭКС 219( 8,0) х 108( 8,0) 12Х18Н10Т </t>
  </si>
  <si>
    <t xml:space="preserve">Переход ЭКС 219( 8,0) х 159( 8,0) 12Х18Н10Т </t>
  </si>
  <si>
    <t xml:space="preserve">Переход ЭКС 219(10,0) х  89( 8,0) 09Г2С </t>
  </si>
  <si>
    <t xml:space="preserve">Переход ЭКС 219(10,0) х  89( 8,0) </t>
  </si>
  <si>
    <t xml:space="preserve">Переход ЭКС 219(10,0) х 108( 6,0) </t>
  </si>
  <si>
    <t xml:space="preserve">Переход ЭКС 219(10,0) х 108( 8,0) 09Г2С </t>
  </si>
  <si>
    <t xml:space="preserve">Переход ЭКС 219(10,0) х 159( 5,0) </t>
  </si>
  <si>
    <t xml:space="preserve">Переход ЭКС 219(10,0) х 159( 8,0) </t>
  </si>
  <si>
    <t xml:space="preserve">Переход ЭКС 219(14,0) х 57( 5,0) </t>
  </si>
  <si>
    <t xml:space="preserve">Переход ЭКС 273( 8,0) х 108( 8,0) 09Г2С </t>
  </si>
  <si>
    <t xml:space="preserve">Переход ЭКС 273( 8,0) х 133( 6,0) 09Г2С </t>
  </si>
  <si>
    <t xml:space="preserve">Переход ЭКС 273( 8,0) х 133( 6,0) </t>
  </si>
  <si>
    <t>Переход ЭКС 273( 8,0) х 133( 8,0) 09Г2С</t>
  </si>
  <si>
    <t xml:space="preserve">Переход ЭКС 273( 8,0) х 159( 6,0) 09Г2С </t>
  </si>
  <si>
    <t>Переход ЭКС 273( 8,0) х 159( 8,0) 12Х18Н10Т</t>
  </si>
  <si>
    <t xml:space="preserve">Переход ЭКС 273( 8,0) х 219( 8,0) 09Г2С </t>
  </si>
  <si>
    <t xml:space="preserve">Переход ЭКС 273( 8,0) х 219( 8,0) 12Х18Н10Т </t>
  </si>
  <si>
    <t xml:space="preserve">Переход ЭКС 273( 8,0) х 219( 8,0) </t>
  </si>
  <si>
    <t>Переход ЭКС 273(10,0) х 108( 6,0) 09Г2С</t>
  </si>
  <si>
    <t xml:space="preserve">Переход ЭКС 273(10,0) х 108( 6,0) </t>
  </si>
  <si>
    <t xml:space="preserve">Переход ЭКС 273(10,0) х 108( 8,0) 09Г2С </t>
  </si>
  <si>
    <t xml:space="preserve">Переход ЭКС 273(10,0) х 133( 8,0) 09Г2С </t>
  </si>
  <si>
    <t xml:space="preserve">Переход ЭКС 273(10,0) х 133( 8,0) </t>
  </si>
  <si>
    <t xml:space="preserve">Переход ЭКС 273(10,0) х 159( 8,0) 09Г2С </t>
  </si>
  <si>
    <t>Переход ЭКС 273(10,0) х 219( 8,0) 09Г2С</t>
  </si>
  <si>
    <t xml:space="preserve">Переход ЭКС 273(10,0) х 219( 8,0) </t>
  </si>
  <si>
    <t xml:space="preserve">Переход ЭКС 273(14,0) х 219(12,0) </t>
  </si>
  <si>
    <t xml:space="preserve">Переход ЭКС 325( 8,0) х 159( 6,0) </t>
  </si>
  <si>
    <t xml:space="preserve">Переход ЭКС 325(10,0) х 108( 8,0) 09Г2С </t>
  </si>
  <si>
    <t xml:space="preserve">Переход ЭКС 325(10,0) х 108( 8,0) </t>
  </si>
  <si>
    <t xml:space="preserve">Переход ЭКС 325(10,0) х 159( 8,0) </t>
  </si>
  <si>
    <t xml:space="preserve">Переход ЭКС 325(10,0) х 219( 8,0) 12Х18Н10Т </t>
  </si>
  <si>
    <t xml:space="preserve">Переход ЭКС 325(10,0) х 219( 8,0) </t>
  </si>
  <si>
    <t>Переход ЭКС 325(10,0) х 273(10,0) 09Г2С</t>
  </si>
  <si>
    <t xml:space="preserve">Переход ЭКС 325(10,0) х 273(10,0) </t>
  </si>
  <si>
    <t xml:space="preserve">Переход ЭКС 325(12,0) х 159( 8,0) </t>
  </si>
  <si>
    <t xml:space="preserve">Переход ЭКС 325(12,0) х 159(10,0) 09Г2С </t>
  </si>
  <si>
    <t>Переход ЭКС 325(12,0) х 159(10,0)</t>
  </si>
  <si>
    <t>Переход ЭКС 325(12,0) х 219(10,0) 09Г2С</t>
  </si>
  <si>
    <t xml:space="preserve">Переход ЭКС 325(12,0) х 219(10,0) </t>
  </si>
  <si>
    <t>Переход ЭКС 325(12,0) х 273(10,0) 09Г2С</t>
  </si>
  <si>
    <t xml:space="preserve">Переход ЭКС 325(12,0) х 273(10,0) </t>
  </si>
  <si>
    <t>Переход ЭКС 325(12,0) х 273(12,0) 09Г2С</t>
  </si>
  <si>
    <t>Переход ЭКС 325(12,0) х 273(12,0)</t>
  </si>
  <si>
    <t xml:space="preserve">Переход ЭКС 325(18,0) х 219( 14,0) </t>
  </si>
  <si>
    <t xml:space="preserve">Переход ЭКС 377(10,0) х 219( 8,0) 09Г2С </t>
  </si>
  <si>
    <t xml:space="preserve">Переход ЭКС 377(10,0) х 325( 8,0) </t>
  </si>
  <si>
    <t xml:space="preserve">Переход ЭКС 377(12,0) х 159( 6,0) </t>
  </si>
  <si>
    <t xml:space="preserve">Переход ЭКС 377(12,0) х 159(10,0) </t>
  </si>
  <si>
    <t xml:space="preserve">Переход ЭКС 377(12,0) х 219( 8,0) </t>
  </si>
  <si>
    <t xml:space="preserve">Переход ЭКС 377(12,0) х 219(10,0) 09Г2С </t>
  </si>
  <si>
    <t>Переход ЭКС 377(12,0) х 273( 10,0) 09Г2С</t>
  </si>
  <si>
    <t>Переход ЭКС 377(12,0) х 325(  8,0)</t>
  </si>
  <si>
    <t xml:space="preserve">Переход ЭКС 377(14,0) х 325(14,0) 09Г2С </t>
  </si>
  <si>
    <t xml:space="preserve">Переход ЭКС 377(14,0) х 325(14,0) </t>
  </si>
  <si>
    <t xml:space="preserve">Переход ЭКС 377(16,0) х 219(12,0) ст 09Г2С </t>
  </si>
  <si>
    <t xml:space="preserve">Переход ЭКС 377(24,0) х 219(14,0) </t>
  </si>
  <si>
    <t>Переход ЭКС 426(10,0) х 159(10,0) 09Г2С</t>
  </si>
  <si>
    <t xml:space="preserve">Переход ЭКС 426(10,0) х 159(10,0) </t>
  </si>
  <si>
    <t xml:space="preserve">Переход ЭКС 426(10,0) х 219(10,0) 09Г2С </t>
  </si>
  <si>
    <t xml:space="preserve">Переход ЭКС 426(10,0) х 219(10,0) </t>
  </si>
  <si>
    <t xml:space="preserve">Переход ЭКС 426(10,0) х 325(10,0) </t>
  </si>
  <si>
    <t xml:space="preserve">Переход ЭКС 426(12,0) х 159(10,0) 09Г2С </t>
  </si>
  <si>
    <t xml:space="preserve">Переход ЭКС 426(12,0) х 159(10,0) </t>
  </si>
  <si>
    <t xml:space="preserve">Переход ЭКС 426(12,0) х 219(10,0) 09Г2С </t>
  </si>
  <si>
    <t xml:space="preserve">Переход ЭКС 426(12,0) х 219(12,0) 09Г2С </t>
  </si>
  <si>
    <t xml:space="preserve">Переход ЭКС 426(12,0) х 219(12,0) </t>
  </si>
  <si>
    <t>Переход ЭКС 426(12,0) х 325(10,0) 09Г2С</t>
  </si>
  <si>
    <t xml:space="preserve">Переход ЭКС 426(12,0) х 325(12,0) </t>
  </si>
  <si>
    <t xml:space="preserve">Переход ЭКС 426(12,0) х 325(12,0) ст 09Г2С </t>
  </si>
  <si>
    <t>Переход ЭКС 426(12,0) х 377(10,0)</t>
  </si>
  <si>
    <t>Переход ЭКС 426(14,0) х 325(14,0)</t>
  </si>
  <si>
    <t xml:space="preserve">Переход ЭКС 426(14,0) х 325(14,0) ст 09Г2С </t>
  </si>
  <si>
    <t xml:space="preserve">Переход ЭКС 426(14,0) х 377(14,0) ст 09Г2С </t>
  </si>
  <si>
    <t xml:space="preserve">Переход ЭКС 530(10,0) х 426( 10,0) ст 09Г2С </t>
  </si>
  <si>
    <t xml:space="preserve">Переход ЭКС 530(10,0) х 426(10,0) </t>
  </si>
  <si>
    <t xml:space="preserve">Переход ЭКС 530(12,0) х 159(10,0) 09Г2С </t>
  </si>
  <si>
    <t xml:space="preserve">Переход ЭКС 530(12,0) х 159(10,0) </t>
  </si>
  <si>
    <t>Переход ЭКС 530(12,0) х 273(10,0) 09Г2С</t>
  </si>
  <si>
    <t xml:space="preserve">Переход ЭКС 530(12,0) х 273(10,0) </t>
  </si>
  <si>
    <t xml:space="preserve">Переход ЭКС 530(12,0) х 325(10,0) 09Г2С </t>
  </si>
  <si>
    <t>Переход ЭКС 530(12,0) х 325(10,0)</t>
  </si>
  <si>
    <t>Переход ЭКС 530(12,0) х 377(10,0)</t>
  </si>
  <si>
    <t xml:space="preserve">Переход ЭКС 530(12,0) х 377(12,0) 09Г2С </t>
  </si>
  <si>
    <t>Переход ЭКС 530(12,0) х 377(12,0)</t>
  </si>
  <si>
    <t xml:space="preserve">Переход ЭКС 530(12,0) х 426(10,0) ст 09Г2С </t>
  </si>
  <si>
    <t>Переход ЭКС 530(14,0) х 273(10,0)</t>
  </si>
  <si>
    <t xml:space="preserve">Переход ЭКС 530(14,0) х 325(12,0) </t>
  </si>
  <si>
    <t xml:space="preserve">Переход ЭКС 530(14,0) х 377(12,0) </t>
  </si>
  <si>
    <t xml:space="preserve">Переход ЭКС 530(14,0) х 426 (10,0) </t>
  </si>
  <si>
    <t xml:space="preserve">Переход ЭКС 530(14,0) х 426 (10,0) ст 09Г2С </t>
  </si>
  <si>
    <t>Переход ЭКС 630(14,0) х 325(12,0)</t>
  </si>
  <si>
    <t xml:space="preserve">Переход ЭКС 630(14,0) х 426(12,0) </t>
  </si>
  <si>
    <t>Переход ЭКС 630(14,0) х 426(14,0)</t>
  </si>
  <si>
    <t xml:space="preserve">Переход ЭКС 630(14,0) х 426(14,0) ст 09Г2С </t>
  </si>
  <si>
    <t>Переход ЭКС 820(14,0) х 630( 12,0)</t>
  </si>
  <si>
    <t xml:space="preserve">Тройник  219x 6,0 12Х18Н10Т </t>
  </si>
  <si>
    <t xml:space="preserve">Тройник  219х 6,0 ст 09Г2С </t>
  </si>
  <si>
    <t>Тройник  219х 6,0- 89х 6,0</t>
  </si>
  <si>
    <t xml:space="preserve">Тройник  219х 6,0-108х 6,0 </t>
  </si>
  <si>
    <t xml:space="preserve">Тройник  219х 8,0 09Г2С </t>
  </si>
  <si>
    <t xml:space="preserve">Тройник  219х 8,0 </t>
  </si>
  <si>
    <t xml:space="preserve">Тройник  219х 8,0- 57х 6,0 09Г2С </t>
  </si>
  <si>
    <t>Тройник  219х 8,0- 57х 6,0</t>
  </si>
  <si>
    <t xml:space="preserve">Тройник  219х 8,0- 89х 6,0 09Г2С </t>
  </si>
  <si>
    <t xml:space="preserve">Тройник  219х 8,0- 89х 6,0 </t>
  </si>
  <si>
    <t>Тройник  219х 8,0-108х 8,0 09Г2С</t>
  </si>
  <si>
    <t xml:space="preserve">Тройник  219х 8,0-108х 8,0 </t>
  </si>
  <si>
    <t xml:space="preserve">Тройник  219х 8,0-159х 8,0 </t>
  </si>
  <si>
    <t xml:space="preserve">Тройник  219х10 09Г2С </t>
  </si>
  <si>
    <t>Тройник  219х10-108х 8,0 09Г2С</t>
  </si>
  <si>
    <t xml:space="preserve">Тройник  219х10-108х 8,0 </t>
  </si>
  <si>
    <t>Тройник  219х10-159х 8,0 09Г2С</t>
  </si>
  <si>
    <t>Тройник  219х10-159х10</t>
  </si>
  <si>
    <t xml:space="preserve">Тройник  219х10-159х10 ст 09Г2С </t>
  </si>
  <si>
    <t>Тройник  219х12 ст 09Г2С</t>
  </si>
  <si>
    <t>Тройник  219х12,0</t>
  </si>
  <si>
    <t>Тройник  219х12,0-159х 10,0 09Г2С</t>
  </si>
  <si>
    <t xml:space="preserve">Тройник  219х12,0-159х 10,0 </t>
  </si>
  <si>
    <t xml:space="preserve">Тройник  219х20 ст 09Г2С </t>
  </si>
  <si>
    <t>Тройник  273х 8 09Г2С</t>
  </si>
  <si>
    <t>Тройник  273х 8,0</t>
  </si>
  <si>
    <t xml:space="preserve">Тройник  273х 8,0-219х 8,0 09Г2С </t>
  </si>
  <si>
    <t xml:space="preserve">Тройник  273х10 09Г2С </t>
  </si>
  <si>
    <t xml:space="preserve">Тройник  273х10 </t>
  </si>
  <si>
    <t xml:space="preserve">Тройник  273х10- 89х 8,0 </t>
  </si>
  <si>
    <t>Тройник  273х10-108х8,0 09Г2С</t>
  </si>
  <si>
    <t xml:space="preserve">Тройник  273х10-108х8,0 </t>
  </si>
  <si>
    <t xml:space="preserve">Тройник  273х10-219х 8,0 09Г2С </t>
  </si>
  <si>
    <t xml:space="preserve">Тройник  273х12 09Г2С </t>
  </si>
  <si>
    <t xml:space="preserve">Тройник  273х12 </t>
  </si>
  <si>
    <t xml:space="preserve">Тройник  273х12-219х10 </t>
  </si>
  <si>
    <t>Тройник  273х12-219х10,0 09Г2С</t>
  </si>
  <si>
    <t xml:space="preserve">Тройник  325х 8,0-159х 8,0 09Г2С </t>
  </si>
  <si>
    <t xml:space="preserve">Тройник  325х 8,0-159х 8,0 </t>
  </si>
  <si>
    <t xml:space="preserve">Тройник  325х10 09Г2С </t>
  </si>
  <si>
    <t xml:space="preserve">Тройник  325х10 </t>
  </si>
  <si>
    <t xml:space="preserve">Тройник  325х10- 89х 8 </t>
  </si>
  <si>
    <t xml:space="preserve">Тройник  325х10-108х 8 ст 09Г2С </t>
  </si>
  <si>
    <t xml:space="preserve">Тройник  325х10-159х 8 </t>
  </si>
  <si>
    <t xml:space="preserve">Тройник  325х10-159х 8 ст 09Г2С </t>
  </si>
  <si>
    <t>Тройник  325х12 09Г2С</t>
  </si>
  <si>
    <t>Тройник  325х12</t>
  </si>
  <si>
    <t xml:space="preserve">Тройник  325х12-159х10 09Г2С </t>
  </si>
  <si>
    <t xml:space="preserve">Тройник  325х12-159х10 </t>
  </si>
  <si>
    <t>Тройник  325х14</t>
  </si>
  <si>
    <t xml:space="preserve">Тройник  325х14 ст 09Г2С </t>
  </si>
  <si>
    <t xml:space="preserve">Тройник  325х16 09Г2С </t>
  </si>
  <si>
    <t xml:space="preserve">Тройник  325х16 </t>
  </si>
  <si>
    <t xml:space="preserve">Тройник  377х10 ст 09Г2С </t>
  </si>
  <si>
    <t>Тройник  377х10-273х8 09Г2С</t>
  </si>
  <si>
    <t>Тройник  377х12</t>
  </si>
  <si>
    <t xml:space="preserve">Тройник  377х12 ст 09Г2С </t>
  </si>
  <si>
    <t xml:space="preserve">Тройник  377х12-273х10 09Г2С </t>
  </si>
  <si>
    <t xml:space="preserve">Тройник  377х12-273х10 </t>
  </si>
  <si>
    <t xml:space="preserve">Тройник  377х12-325х10 09Г2С </t>
  </si>
  <si>
    <t xml:space="preserve">Тройник  377х12-325х10 </t>
  </si>
  <si>
    <t xml:space="preserve">Тройник  377х14-219х12 09Г2С </t>
  </si>
  <si>
    <t>Тройник  377х14-219х12</t>
  </si>
  <si>
    <t xml:space="preserve">Тройник  377х14-325х10 </t>
  </si>
  <si>
    <t xml:space="preserve">Тройник  426х10 09Г2С </t>
  </si>
  <si>
    <t>Тройник  426х12 09Г2С</t>
  </si>
  <si>
    <t xml:space="preserve">Тройник  426х12 </t>
  </si>
  <si>
    <t xml:space="preserve">Тройник  426х12-219х10 </t>
  </si>
  <si>
    <t xml:space="preserve">Тройник  426х12-219х10 ст 09Г2С </t>
  </si>
  <si>
    <t xml:space="preserve">Тройник  426х12-273х10 ст 09Г2С </t>
  </si>
  <si>
    <t xml:space="preserve">Тройник  426х14 09Г2С </t>
  </si>
  <si>
    <t xml:space="preserve">Тройник  426х14 </t>
  </si>
  <si>
    <t xml:space="preserve">Тройник  426х14-159х10 </t>
  </si>
  <si>
    <t xml:space="preserve">Тройник  426х14-219х10 </t>
  </si>
  <si>
    <t xml:space="preserve">Тройник  426х16 09Г2С </t>
  </si>
  <si>
    <t xml:space="preserve">Тройник  426х16 </t>
  </si>
  <si>
    <t xml:space="preserve">Тройник  426х20  09Г2С  </t>
  </si>
  <si>
    <t xml:space="preserve">Тройник  426х20  </t>
  </si>
  <si>
    <t xml:space="preserve">Тройник  426х22  09Г2С </t>
  </si>
  <si>
    <t xml:space="preserve">Тройник  426х22  </t>
  </si>
  <si>
    <t xml:space="preserve">Тройник  426х24  </t>
  </si>
  <si>
    <t xml:space="preserve">Тройник  530х12 ст 09Г2С </t>
  </si>
  <si>
    <t>Тройник  530х14 ст 09Г2С</t>
  </si>
  <si>
    <t xml:space="preserve">Тройник  530х16 09Г2С </t>
  </si>
  <si>
    <t>Тройник  630х12-273х12</t>
  </si>
  <si>
    <t xml:space="preserve">Тройник  630х12-325х12 </t>
  </si>
  <si>
    <t xml:space="preserve">Тройник  630х12-377х12 </t>
  </si>
  <si>
    <t xml:space="preserve">Тройник  630х12-426х12 </t>
  </si>
  <si>
    <t xml:space="preserve">Тройник  630х14 </t>
  </si>
  <si>
    <t xml:space="preserve">Тройник  630х14-325х12 </t>
  </si>
  <si>
    <t xml:space="preserve">Тройник  720х12 </t>
  </si>
  <si>
    <t xml:space="preserve">Тройник  720х12-325х12 </t>
  </si>
  <si>
    <t xml:space="preserve">Тройник  720х12-426х12 </t>
  </si>
  <si>
    <t xml:space="preserve">Тройник  720х12-530х12 </t>
  </si>
  <si>
    <t xml:space="preserve">Тройник  720х14 </t>
  </si>
  <si>
    <t xml:space="preserve">Тройник  720х14-325х14 </t>
  </si>
  <si>
    <t xml:space="preserve">Тройник  720х14-426х14 </t>
  </si>
  <si>
    <t xml:space="preserve">Тройник  720х14-530х12 </t>
  </si>
  <si>
    <t xml:space="preserve">Тройник  720х14-530х14 </t>
  </si>
  <si>
    <t>Тройник  720х20 09Г2С</t>
  </si>
  <si>
    <t xml:space="preserve">Тройник  720х24 09Г2С </t>
  </si>
  <si>
    <t xml:space="preserve">Тройник  720х32 09Г2С </t>
  </si>
  <si>
    <t xml:space="preserve">Тройник  820х12 </t>
  </si>
  <si>
    <t xml:space="preserve">Тройник  820х14 </t>
  </si>
  <si>
    <t xml:space="preserve">Тройник  820х14-530х12 </t>
  </si>
  <si>
    <t>Тройник  820х14-630х12</t>
  </si>
  <si>
    <t xml:space="preserve">Тройник  820х16 </t>
  </si>
  <si>
    <t xml:space="preserve">Тройник  820х20 </t>
  </si>
  <si>
    <t>Тройник 1020х 12,0 09Г2С</t>
  </si>
  <si>
    <t xml:space="preserve">Тройник 1020х38,0-1020х30,0 </t>
  </si>
  <si>
    <t>Фланец  1000-10-01-1-В-ст20 ГОСТ 33259-2015</t>
  </si>
  <si>
    <t>Фланец  1000-16-01-1-В-09Г2С ГОСТ 33259-2015</t>
  </si>
  <si>
    <t xml:space="preserve">Фланец  1000-16-01-1-В-ст20 ГОСТ 33259-2015 </t>
  </si>
  <si>
    <t>Фланец  1200-16-01-1-В-ст20 ГОСТ 33259-2015</t>
  </si>
  <si>
    <t xml:space="preserve">Фланец  1400-10-01-1-В-ст20 ГОСТ 33259-2015 </t>
  </si>
  <si>
    <t>Фланец  200-16-01-1-В-ст20 ГОСТ 33259-2015</t>
  </si>
  <si>
    <t>Фланец  250-16-01-1-В-09Г2С ГОСТ 33259-2015</t>
  </si>
  <si>
    <t>Фланец  250-16-01-1-В-ст20 ГОСТ 33259-2015</t>
  </si>
  <si>
    <t xml:space="preserve">Фланец  250-25-01-1-В-ст20 ГОСТ 33259-2015 </t>
  </si>
  <si>
    <t xml:space="preserve">Фланец  300-10-01-1-В-ст20 ГОСТ 33259-2015 </t>
  </si>
  <si>
    <t xml:space="preserve">Фланец  300-16-01-1-В-ст09Г2С-IV ГОСТ 33259-2015 </t>
  </si>
  <si>
    <t>Фланец  300-25-01-1-В-ст20 ГОСТ 33259-2015</t>
  </si>
  <si>
    <t>Фланец  350-10-01-1-В-ст20 ГОСТ 33259-2015</t>
  </si>
  <si>
    <t xml:space="preserve">Фланец  350-16-01-1-В-ст09Г2С-IV ГОСТ 33259-2015 </t>
  </si>
  <si>
    <t xml:space="preserve">Фланец  350-25-01-1-В-ст20 ГОСТ 33259-2015 </t>
  </si>
  <si>
    <t xml:space="preserve">Фланец  400-10-01-1-В-ст20 ГОСТ 33259-2015 </t>
  </si>
  <si>
    <t>Фланец  400-16-01-1-B ст09Г2С ГОСТ 33259-2015</t>
  </si>
  <si>
    <t>Фланец  400-16-01-1-В-ст20 ГОСТ 33259-2015</t>
  </si>
  <si>
    <t>Фланец  400-25-01-1-В-ст20 ГОСТ 33259-2015</t>
  </si>
  <si>
    <t xml:space="preserve">Фланец  500-10-01-1-В-ст20 ГОСТ 33259-2015 </t>
  </si>
  <si>
    <t xml:space="preserve">Фланец  500-16-01-1-В-ст09Г2С ГОСТ 33259-2015 </t>
  </si>
  <si>
    <t xml:space="preserve">Фланец  500-16-01-1-В-ст20 ГОСТ 33259-2015 </t>
  </si>
  <si>
    <t>Фланец  500-25-01-1-В-ст20 ГОСТ 33259-2015</t>
  </si>
  <si>
    <t xml:space="preserve">Фланец  600-10-01-1-В-ст20 ГОСТ 33259-2015 </t>
  </si>
  <si>
    <t xml:space="preserve">Фланец  600-16-01-1-В-ст09Г2С ГОСТ 33259-2015 </t>
  </si>
  <si>
    <t xml:space="preserve">Фланец  600-16-01-1-В-ст20 ГОСТ 33259-2015 </t>
  </si>
  <si>
    <t xml:space="preserve">Фланец  700-10-01-1-В-ст20 ГОСТ 33259-2015 </t>
  </si>
  <si>
    <t xml:space="preserve">Фланец  800-10-01-1-B ст 20 ГОСТ 33259-2015 </t>
  </si>
  <si>
    <t>Фланец  800-16-01-1-B ст 20 ГОСТ 33259-2015</t>
  </si>
  <si>
    <t xml:space="preserve">Фланец  800-25-01-1-B ст 20 ГОСТ 33259-2015 </t>
  </si>
  <si>
    <t xml:space="preserve">Фланец  Ду1000 Ру 6 </t>
  </si>
  <si>
    <t xml:space="preserve">Фланец  Ду1000 Ру10 </t>
  </si>
  <si>
    <t xml:space="preserve">Фланец  Ду1000 Ру16  О9Г2С </t>
  </si>
  <si>
    <t>Фланец  Ду1000 Ру16</t>
  </si>
  <si>
    <t xml:space="preserve">Фланец  Ду200 Ру10 </t>
  </si>
  <si>
    <t>Фланец  Ду200 Ру16 09Г2С</t>
  </si>
  <si>
    <t>Фланец  Ду200 Ру16</t>
  </si>
  <si>
    <t xml:space="preserve">Фланец  Ду200 Ру25 </t>
  </si>
  <si>
    <t xml:space="preserve">Фланец  Ду250 Ру16 09Г2С </t>
  </si>
  <si>
    <t xml:space="preserve">Фланец  Ду250 Ру25 </t>
  </si>
  <si>
    <t xml:space="preserve">Фланец  Ду300 Ру25 </t>
  </si>
  <si>
    <t xml:space="preserve">Фланец  Ду350 Ру10 </t>
  </si>
  <si>
    <t>Фланец  Ду350 Ру16 ст 09Г2С</t>
  </si>
  <si>
    <t>Фланец  Ду400 Ру25</t>
  </si>
  <si>
    <t xml:space="preserve">Фланец  Ду500 Ру 6 </t>
  </si>
  <si>
    <t xml:space="preserve">Фланец  Ду500 Ру16 09Г2С </t>
  </si>
  <si>
    <t xml:space="preserve">Фланец  Ду500 Ру16 </t>
  </si>
  <si>
    <t>Фланец  Ду600 Ру16 09Г2С</t>
  </si>
  <si>
    <t xml:space="preserve">Фланец  Ду600 Ру16 </t>
  </si>
  <si>
    <t xml:space="preserve">Фланец  Ду600 Ру25 </t>
  </si>
  <si>
    <t>Фланец  Ду700 Ру10</t>
  </si>
  <si>
    <t xml:space="preserve">Фланец  Ду700 Ру16 </t>
  </si>
  <si>
    <t xml:space="preserve">Фланец  Ду800 Ру10 </t>
  </si>
  <si>
    <t>Фланец  Ду800 Ру16</t>
  </si>
  <si>
    <t xml:space="preserve">Фланец вор 1000-16-11-1-В-ст20 ГОСТ 33259-2015 </t>
  </si>
  <si>
    <t xml:space="preserve">Фланец вор 1200-16-11-1-В-ст09Г2С ГОСТ 33259-2015 </t>
  </si>
  <si>
    <t xml:space="preserve">Фланец вор 1200-16-11-1-В-ст20 ГОСТ 33259-2015 </t>
  </si>
  <si>
    <t xml:space="preserve">Фланец вор 200-16-11-1-В-ст09Г2С ГОСТ 33259-2015 </t>
  </si>
  <si>
    <t>Фланец вор 200-16-11-1-В-ст20 ГОСТ 33259-2015</t>
  </si>
  <si>
    <t>Фланец вор 200-40-11-1-В-20 ГОСТ 33259-2015</t>
  </si>
  <si>
    <t xml:space="preserve">Фланец вор 200-40-11-1-В-ст09Г2С ГОСТ 33259-2015 </t>
  </si>
  <si>
    <t xml:space="preserve">Фланец вор 250-16-11-1-В-09Г2С ГОСТ 33259-2015 </t>
  </si>
  <si>
    <t xml:space="preserve">Фланец вор 250-40-11-1-В-09Г2С ГОСТ 33259-2015 </t>
  </si>
  <si>
    <t xml:space="preserve">Фланец вор 250-40-11-1-В-ст20 ГОСТ 33259-2015 </t>
  </si>
  <si>
    <t xml:space="preserve">Фланец вор 250-63-11-1-В-ст20 ГОСТ 33259-2015 </t>
  </si>
  <si>
    <t xml:space="preserve">Фланец вор 300-25-11-1-В-ст20 ГОСТ 33259-2015 </t>
  </si>
  <si>
    <t xml:space="preserve">Фланец вор 300-40-11-1-В-ст09Г2С ГОСТ 33259-2015 </t>
  </si>
  <si>
    <t xml:space="preserve">Фланец вор 300-40-11-1-В-ст20 ГОСТ 33259-2015 </t>
  </si>
  <si>
    <t xml:space="preserve">Фланец вор 300-63-11-1-В-ст09Г2С ГОСТ 33259-2015 </t>
  </si>
  <si>
    <t xml:space="preserve">Фланец вор 300-63-11-1-В-ст20 ГОСТ 33259-2015 </t>
  </si>
  <si>
    <t xml:space="preserve">Фланец вор 350-16-11-1-В-ст20 ГОСТ 33259-2015 </t>
  </si>
  <si>
    <t>Фланец вор 350-40-11-1-В-ст09Г2С ГОСТ 33259-2015</t>
  </si>
  <si>
    <t xml:space="preserve">Фланец вор 350-40-11-1-В-ст20 ГОСТ 33259-2015 </t>
  </si>
  <si>
    <t xml:space="preserve">Фланец вор 400-16-11-1-B-ст20 ГОСТ 33259-2015 </t>
  </si>
  <si>
    <t xml:space="preserve">Фланец вор 400-25-11-1-B-ст20 ГОСТ 33259-2015 </t>
  </si>
  <si>
    <t>Фланец вор 400-40-11-1-B-ст09Г2С ГОСТ 33259-2015</t>
  </si>
  <si>
    <t xml:space="preserve">Фланец вор 400-40-11-1-B-ст20 ГОСТ 33259-2015 </t>
  </si>
  <si>
    <t xml:space="preserve">Фланец вор 500-16-11-1-B-ст20 ГОСТ 33259-2015 </t>
  </si>
  <si>
    <t xml:space="preserve">Фланец вор 500-25-11-1-B-ст09Г2С ГОСТ 33259-2015 </t>
  </si>
  <si>
    <t>Фланец вор 500-25-11-1-B-ст20 ГОСТ 33259-2015</t>
  </si>
  <si>
    <t xml:space="preserve">Фланец вор 500-40-11-1-B-ст09Г2С ГОСТ 33259-2015 </t>
  </si>
  <si>
    <t xml:space="preserve">Фланец вор 500-40-11-1-B-ст20 ГОСТ 33259-2015 </t>
  </si>
  <si>
    <t xml:space="preserve">Фланец вор 600-16-11-1-B-ст09Г2С ГОСТ 33259-2015 </t>
  </si>
  <si>
    <t xml:space="preserve">Фланец вор 700-16-11-1-B-ст20 ГОСТ 33259-2015 </t>
  </si>
  <si>
    <t xml:space="preserve">Фланец вор 700-25-11-1-B-ст20 ГОСТ 33259-2015 </t>
  </si>
  <si>
    <t xml:space="preserve">Фланец вор 800-10-11-1-B-ст20 ГОСТ 33259-2015 </t>
  </si>
  <si>
    <t xml:space="preserve">Фланец вор 800-25-11-1-B-ст20 ГОСТ 33259-2015 </t>
  </si>
  <si>
    <t xml:space="preserve">Фланец вор Ду1000 Ру16 </t>
  </si>
  <si>
    <t xml:space="preserve">Фланец вор Ду1200 Ру16 </t>
  </si>
  <si>
    <t xml:space="preserve">Фланец вор Ду200 Ру16 09Г2С </t>
  </si>
  <si>
    <t xml:space="preserve">Фланец вор Ду200 Ру16 </t>
  </si>
  <si>
    <t xml:space="preserve">Фланец вор Ду200 Ру25 </t>
  </si>
  <si>
    <t>Фланец вор Ду200 Ру40 09Г2С</t>
  </si>
  <si>
    <t>Фланец вор Ду250 Ру25</t>
  </si>
  <si>
    <t xml:space="preserve">Фланец вор Ду250 Ру40 </t>
  </si>
  <si>
    <t>Фланец вор Ду250 Ру63</t>
  </si>
  <si>
    <t xml:space="preserve">Фланец вор Ду300 Ру40 </t>
  </si>
  <si>
    <t xml:space="preserve">Фланец вор Ду300 Ру63 ст 09Г2С </t>
  </si>
  <si>
    <t>Фланец вор Ду350 Ру16 09Г2С</t>
  </si>
  <si>
    <t>Фланец вор Ду350 Ру40</t>
  </si>
  <si>
    <t xml:space="preserve">Фланец вор Ду400 Ру16 09Г2С </t>
  </si>
  <si>
    <t xml:space="preserve">Фланец вор Ду400 Ру25 </t>
  </si>
  <si>
    <t xml:space="preserve">Фланец вор Ду400 Ру40 09Г2С </t>
  </si>
  <si>
    <t xml:space="preserve">Фланец вор Ду400 Ру40 </t>
  </si>
  <si>
    <t>Фланец вор Ду500 Ру16  09Г2С</t>
  </si>
  <si>
    <t xml:space="preserve">Фланец вор Ду500 Ру16 </t>
  </si>
  <si>
    <t xml:space="preserve">Фланец вор Ду500 Ру25 </t>
  </si>
  <si>
    <t xml:space="preserve">Фланец вор Ду600 Ру16 09Г2С </t>
  </si>
  <si>
    <t>Фланец вор Ду600 Ру16</t>
  </si>
  <si>
    <t>Фланец вор Ду600 Ру25</t>
  </si>
  <si>
    <t>Фланец вор Ду700 Ру16</t>
  </si>
  <si>
    <t xml:space="preserve">Фланец вор Ду800 Ру16 </t>
  </si>
  <si>
    <t xml:space="preserve">Фланец вор Ду800 Ру25 </t>
  </si>
  <si>
    <t xml:space="preserve">Фланец вор нж Ду 50 Ру16 ст 321 </t>
  </si>
  <si>
    <t xml:space="preserve">Фланец вор нж Ду 50 Ру16 ст SS304 </t>
  </si>
  <si>
    <t xml:space="preserve">Фланец вор нж Ду 50 Ру40 321 </t>
  </si>
  <si>
    <t>Фланец вор нж Ду 50 Ру63 321</t>
  </si>
  <si>
    <t xml:space="preserve">Фланец вор нж Ду 80 Ру16 321 </t>
  </si>
  <si>
    <t xml:space="preserve">Фланец вор нж Ду 80 Ру40 321 </t>
  </si>
  <si>
    <t xml:space="preserve">Фланец вор нж Ду100 Ру16 ст SS304 </t>
  </si>
  <si>
    <t xml:space="preserve">Фланец вор нж Ду100 Ру40 ст 321 </t>
  </si>
  <si>
    <t xml:space="preserve">Фланец вор нж Ду100 Ру63 ст 321 </t>
  </si>
  <si>
    <t xml:space="preserve">Фланец вор нж Ду125 Ру16 ст.SS304 </t>
  </si>
  <si>
    <t xml:space="preserve">Фланец вор нж Ду150 Ру16 ст.SS304 </t>
  </si>
  <si>
    <t xml:space="preserve">Фланец вор нж Ду150 Ру40 ст.321 </t>
  </si>
  <si>
    <t xml:space="preserve">Фланец вор нж Ду150 Ру63 321 </t>
  </si>
  <si>
    <t xml:space="preserve">Фланец вор нж Ду200 Ру 16 </t>
  </si>
  <si>
    <t>Фланец вор нж Ду200 Ру40 ст.321</t>
  </si>
  <si>
    <t xml:space="preserve">Фланец вор нж Ду200 Ру16 321 </t>
  </si>
  <si>
    <t xml:space="preserve">Фланец вор нж Ду200 Ру40 ст.SS304 </t>
  </si>
  <si>
    <t xml:space="preserve">Фланец вор нж Ду200 Ру63 ст.321 </t>
  </si>
  <si>
    <t xml:space="preserve">Фланец вор нж Ду200 Ру63 ст.SS304 </t>
  </si>
  <si>
    <t>Фланец вор нж Ду250 Ру16 321</t>
  </si>
  <si>
    <t xml:space="preserve">Фланец вор нж Ду250 Ру16 </t>
  </si>
  <si>
    <t xml:space="preserve">Фланец вор нж Ду300 Ру 40 </t>
  </si>
  <si>
    <t xml:space="preserve">Фланец вор нж Ду300 Ру16 321 </t>
  </si>
  <si>
    <t xml:space="preserve">Фланец вор нж Ду300 Ру16 </t>
  </si>
  <si>
    <t xml:space="preserve">Фланец вор нж Ду300 Ру40 ст.321 </t>
  </si>
  <si>
    <t xml:space="preserve">Фланец нж Ду 20 Ру16 </t>
  </si>
  <si>
    <t xml:space="preserve">Фланец нж Ду 25 Ру16 </t>
  </si>
  <si>
    <t xml:space="preserve">Фланец нж Ду 32 Ру16 </t>
  </si>
  <si>
    <t>Фланец нж Ду 50 Ру16 ст 321</t>
  </si>
  <si>
    <t xml:space="preserve">Фланец нж Ду 80 Ру16 </t>
  </si>
  <si>
    <t xml:space="preserve">Фланец нж Ду100 Ру16 321 </t>
  </si>
  <si>
    <t>Фланец нж Ду150 Ру16 321</t>
  </si>
  <si>
    <t>Фланец нж Ду150 Ру16</t>
  </si>
  <si>
    <t>Фланец нж Ду200 Ру16</t>
  </si>
  <si>
    <t xml:space="preserve">Фланец нж Ду200 Ру25 ст 321 </t>
  </si>
  <si>
    <t xml:space="preserve">Фланец нж Ду250 Ру16 321 </t>
  </si>
  <si>
    <t xml:space="preserve">Фланец нж Ду250 Ру16 </t>
  </si>
  <si>
    <t xml:space="preserve">Фланец нж Ду300 Ру16 </t>
  </si>
  <si>
    <t xml:space="preserve">Фланец нж Ду400 Ру16 </t>
  </si>
  <si>
    <t>26са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</si>
</sst>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#,##0.00\ &quot;₽&quot;"/>
    <numFmt numFmtId="165" formatCode="##0.0#"/>
    <numFmt numFmtId="166" formatCode="0.000"/>
    <numFmt numFmtId="167" formatCode="0.00;[Red]\-0.00"/>
    <numFmt numFmtId="168" formatCode="#,##0.0"/>
    <numFmt numFmtId="169" formatCode="0.0#"/>
    <numFmt numFmtId="171" formatCode="0.0"/>
    <numFmt numFmtId="172" formatCode="0.000;[Red]\-0.000"/>
    <numFmt numFmtId="173" formatCode="#,##0.000"/>
    <numFmt numFmtId="17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444444"/>
      <name val="Arial"/>
      <family val="2"/>
      <charset val="204"/>
    </font>
    <font>
      <u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594304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auto="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14" fillId="0" borderId="0"/>
  </cellStyleXfs>
  <cellXfs count="312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 shrinkToFit="1"/>
    </xf>
    <xf numFmtId="0" fontId="1" fillId="5" borderId="1" xfId="0" applyNumberFormat="1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 shrinkToFit="1"/>
    </xf>
    <xf numFmtId="2" fontId="1" fillId="5" borderId="1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/>
    </xf>
    <xf numFmtId="166" fontId="6" fillId="6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 shrinkToFit="1"/>
    </xf>
    <xf numFmtId="1" fontId="1" fillId="0" borderId="1" xfId="0" applyNumberFormat="1" applyFont="1" applyFill="1" applyBorder="1" applyAlignment="1">
      <alignment horizontal="center" vertical="center" wrapText="1" shrinkToFit="1"/>
    </xf>
    <xf numFmtId="0" fontId="1" fillId="4" borderId="1" xfId="0" applyNumberFormat="1" applyFont="1" applyFill="1" applyBorder="1" applyAlignment="1">
      <alignment horizontal="center" vertical="center" wrapText="1" shrinkToFi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top" wrapText="1"/>
    </xf>
    <xf numFmtId="2" fontId="4" fillId="5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 wrapText="1" shrinkToFit="1"/>
    </xf>
    <xf numFmtId="49" fontId="1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 wrapText="1" shrinkToFit="1"/>
    </xf>
    <xf numFmtId="2" fontId="1" fillId="4" borderId="1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 wrapText="1" shrinkToFit="1"/>
    </xf>
    <xf numFmtId="2" fontId="4" fillId="4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6" borderId="1" xfId="0" applyFont="1" applyFill="1" applyBorder="1" applyAlignment="1">
      <alignment horizontal="center" vertical="center" wrapText="1" shrinkToFit="1"/>
    </xf>
    <xf numFmtId="49" fontId="1" fillId="5" borderId="1" xfId="0" applyNumberFormat="1" applyFont="1" applyFill="1" applyBorder="1" applyAlignment="1">
      <alignment horizontal="center" vertical="center" wrapText="1" shrinkToFit="1"/>
    </xf>
    <xf numFmtId="167" fontId="1" fillId="4" borderId="1" xfId="0" applyNumberFormat="1" applyFont="1" applyFill="1" applyBorder="1" applyAlignment="1">
      <alignment horizontal="center" vertical="center" wrapText="1" shrinkToFit="1"/>
    </xf>
    <xf numFmtId="167" fontId="1" fillId="5" borderId="1" xfId="0" applyNumberFormat="1" applyFont="1" applyFill="1" applyBorder="1" applyAlignment="1">
      <alignment horizontal="center" vertical="center" wrapText="1" shrinkToFit="1"/>
    </xf>
    <xf numFmtId="167" fontId="1" fillId="0" borderId="1" xfId="0" applyNumberFormat="1" applyFont="1" applyFill="1" applyBorder="1" applyAlignment="1">
      <alignment horizontal="center" vertical="center" wrapText="1" shrinkToFit="1"/>
    </xf>
    <xf numFmtId="167" fontId="1" fillId="0" borderId="1" xfId="0" applyNumberFormat="1" applyFont="1" applyBorder="1" applyAlignment="1">
      <alignment horizontal="center" vertical="center" wrapText="1" shrinkToFit="1"/>
    </xf>
    <xf numFmtId="0" fontId="4" fillId="5" borderId="1" xfId="0" applyNumberFormat="1" applyFont="1" applyFill="1" applyBorder="1" applyAlignment="1">
      <alignment horizontal="center" vertical="center" wrapText="1" shrinkToFit="1"/>
    </xf>
    <xf numFmtId="167" fontId="4" fillId="5" borderId="1" xfId="0" applyNumberFormat="1" applyFont="1" applyFill="1" applyBorder="1" applyAlignment="1">
      <alignment horizontal="center" vertical="center" wrapText="1" shrinkToFit="1"/>
    </xf>
    <xf numFmtId="2" fontId="6" fillId="6" borderId="1" xfId="0" applyNumberFormat="1" applyFont="1" applyFill="1" applyBorder="1" applyAlignment="1">
      <alignment horizontal="center" vertical="center" wrapText="1" shrinkToFit="1"/>
    </xf>
    <xf numFmtId="167" fontId="4" fillId="6" borderId="1" xfId="0" applyNumberFormat="1" applyFont="1" applyFill="1" applyBorder="1" applyAlignment="1">
      <alignment horizontal="center" vertical="center" wrapText="1" shrinkToFit="1"/>
    </xf>
    <xf numFmtId="167" fontId="6" fillId="6" borderId="1" xfId="0" applyNumberFormat="1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horizontal="center" vertical="center" wrapText="1" shrinkToFit="1"/>
    </xf>
    <xf numFmtId="0" fontId="1" fillId="6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4" fillId="5" borderId="6" xfId="0" applyNumberFormat="1" applyFont="1" applyFill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167" fontId="4" fillId="5" borderId="6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 shrinkToFit="1"/>
    </xf>
    <xf numFmtId="168" fontId="1" fillId="4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/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 shrinkToFit="1"/>
    </xf>
    <xf numFmtId="0" fontId="1" fillId="6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1" fillId="4" borderId="1" xfId="0" applyNumberFormat="1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164" fontId="1" fillId="0" borderId="3" xfId="0" applyNumberFormat="1" applyFont="1" applyFill="1" applyBorder="1" applyAlignment="1">
      <alignment horizontal="center" vertical="center" wrapText="1" shrinkToFit="1"/>
    </xf>
    <xf numFmtId="2" fontId="1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1" fillId="6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1" fillId="0" borderId="0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 shrinkToFit="1"/>
    </xf>
    <xf numFmtId="49" fontId="1" fillId="0" borderId="5" xfId="0" applyNumberFormat="1" applyFont="1" applyFill="1" applyBorder="1" applyAlignment="1">
      <alignment horizontal="center" vertical="center" wrapText="1" shrinkToFit="1"/>
    </xf>
    <xf numFmtId="0" fontId="6" fillId="6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 wrapText="1" shrinkToFit="1"/>
    </xf>
    <xf numFmtId="2" fontId="6" fillId="6" borderId="1" xfId="0" applyNumberFormat="1" applyFont="1" applyFill="1" applyBorder="1" applyAlignment="1" applyProtection="1">
      <alignment horizontal="center"/>
    </xf>
    <xf numFmtId="4" fontId="1" fillId="0" borderId="1" xfId="1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 shrinkToFit="1"/>
    </xf>
    <xf numFmtId="2" fontId="1" fillId="0" borderId="6" xfId="0" applyNumberFormat="1" applyFont="1" applyBorder="1" applyAlignment="1">
      <alignment horizontal="center" vertical="center" wrapText="1" shrinkToFit="1"/>
    </xf>
    <xf numFmtId="167" fontId="0" fillId="5" borderId="1" xfId="0" applyNumberFormat="1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/>
    </xf>
    <xf numFmtId="172" fontId="4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2" fontId="1" fillId="0" borderId="2" xfId="0" applyNumberFormat="1" applyFont="1" applyBorder="1" applyAlignment="1">
      <alignment horizontal="center" vertical="center" wrapText="1" shrinkToFit="1"/>
    </xf>
    <xf numFmtId="168" fontId="1" fillId="4" borderId="1" xfId="0" applyNumberFormat="1" applyFont="1" applyFill="1" applyBorder="1" applyAlignment="1">
      <alignment vertical="center" wrapText="1" shrinkToFi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6" fillId="6" borderId="1" xfId="0" applyNumberFormat="1" applyFont="1" applyFill="1" applyBorder="1" applyAlignment="1" applyProtection="1">
      <alignment horizontal="center" vertical="center" wrapText="1" shrinkToFit="1"/>
    </xf>
    <xf numFmtId="168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6" xfId="0" applyNumberFormat="1" applyFont="1" applyFill="1" applyBorder="1" applyAlignment="1">
      <alignment horizontal="center" vertical="center" wrapText="1" shrinkToFit="1"/>
    </xf>
    <xf numFmtId="0" fontId="6" fillId="6" borderId="6" xfId="0" applyNumberFormat="1" applyFont="1" applyFill="1" applyBorder="1" applyAlignment="1" applyProtection="1">
      <alignment horizontal="center"/>
    </xf>
    <xf numFmtId="49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wrapText="1" shrinkToFit="1"/>
    </xf>
    <xf numFmtId="1" fontId="4" fillId="0" borderId="6" xfId="0" applyNumberFormat="1" applyFont="1" applyBorder="1" applyAlignment="1">
      <alignment horizontal="center"/>
    </xf>
    <xf numFmtId="1" fontId="4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 shrinkToFit="1"/>
    </xf>
    <xf numFmtId="0" fontId="6" fillId="6" borderId="6" xfId="0" applyNumberFormat="1" applyFont="1" applyFill="1" applyBorder="1" applyAlignment="1" applyProtection="1">
      <alignment horizontal="center" vertical="center" wrapText="1" shrinkToFit="1"/>
    </xf>
    <xf numFmtId="0" fontId="4" fillId="0" borderId="6" xfId="0" applyNumberFormat="1" applyFont="1" applyFill="1" applyBorder="1" applyAlignment="1">
      <alignment horizontal="center" vertical="center" wrapText="1" shrinkToFit="1"/>
    </xf>
    <xf numFmtId="2" fontId="6" fillId="6" borderId="6" xfId="0" applyNumberFormat="1" applyFont="1" applyFill="1" applyBorder="1" applyAlignment="1" applyProtection="1">
      <alignment horizontal="center"/>
    </xf>
    <xf numFmtId="4" fontId="1" fillId="0" borderId="6" xfId="1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wrapText="1" shrinkToFit="1"/>
    </xf>
    <xf numFmtId="0" fontId="4" fillId="5" borderId="6" xfId="0" applyNumberFormat="1" applyFont="1" applyFill="1" applyBorder="1" applyAlignment="1">
      <alignment horizontal="center" wrapText="1" shrinkToFit="1"/>
    </xf>
    <xf numFmtId="0" fontId="1" fillId="5" borderId="1" xfId="0" applyNumberFormat="1" applyFont="1" applyFill="1" applyBorder="1" applyAlignment="1">
      <alignment horizontal="center" wrapText="1" shrinkToFit="1"/>
    </xf>
    <xf numFmtId="2" fontId="1" fillId="4" borderId="1" xfId="0" applyNumberFormat="1" applyFont="1" applyFill="1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 shrinkToFit="1"/>
    </xf>
    <xf numFmtId="1" fontId="1" fillId="4" borderId="1" xfId="0" applyNumberFormat="1" applyFont="1" applyFill="1" applyBorder="1" applyAlignment="1">
      <alignment horizontal="center" wrapText="1" shrinkToFit="1"/>
    </xf>
    <xf numFmtId="0" fontId="4" fillId="6" borderId="1" xfId="0" applyFont="1" applyFill="1" applyBorder="1" applyAlignment="1">
      <alignment horizontal="center" wrapText="1" shrinkToFit="1"/>
    </xf>
    <xf numFmtId="0" fontId="1" fillId="4" borderId="1" xfId="0" applyFont="1" applyFill="1" applyBorder="1" applyAlignment="1">
      <alignment horizontal="center" wrapText="1" shrinkToFit="1"/>
    </xf>
    <xf numFmtId="0" fontId="1" fillId="6" borderId="1" xfId="0" applyNumberFormat="1" applyFont="1" applyFill="1" applyBorder="1" applyAlignment="1" applyProtection="1">
      <alignment horizontal="center" wrapText="1" shrinkToFit="1"/>
    </xf>
    <xf numFmtId="164" fontId="1" fillId="4" borderId="1" xfId="0" applyNumberFormat="1" applyFont="1" applyFill="1" applyBorder="1" applyAlignment="1">
      <alignment horizontal="center" wrapText="1" shrinkToFit="1"/>
    </xf>
    <xf numFmtId="2" fontId="10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/>
    </xf>
    <xf numFmtId="16" fontId="1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wrapText="1" shrinkToFit="1"/>
    </xf>
    <xf numFmtId="0" fontId="1" fillId="5" borderId="6" xfId="0" applyNumberFormat="1" applyFont="1" applyFill="1" applyBorder="1" applyAlignment="1">
      <alignment horizontal="center" vertical="center" wrapText="1" shrinkToFit="1"/>
    </xf>
    <xf numFmtId="49" fontId="1" fillId="4" borderId="6" xfId="0" applyNumberFormat="1" applyFont="1" applyFill="1" applyBorder="1" applyAlignment="1">
      <alignment horizontal="center" vertical="center"/>
    </xf>
    <xf numFmtId="167" fontId="1" fillId="5" borderId="6" xfId="0" applyNumberFormat="1" applyFont="1" applyFill="1" applyBorder="1" applyAlignment="1">
      <alignment horizontal="center" vertical="center" wrapText="1" shrinkToFit="1"/>
    </xf>
    <xf numFmtId="2" fontId="1" fillId="0" borderId="1" xfId="0" applyNumberFormat="1" applyFont="1" applyFill="1" applyBorder="1" applyAlignment="1">
      <alignment horizontal="center" vertical="center" wrapText="1" shrinkToFit="1"/>
    </xf>
    <xf numFmtId="2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2" fontId="4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 shrinkToFit="1"/>
    </xf>
    <xf numFmtId="164" fontId="1" fillId="0" borderId="6" xfId="0" applyNumberFormat="1" applyFont="1" applyFill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6" borderId="6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" fontId="1" fillId="6" borderId="6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>
      <alignment horizontal="center" vertical="center" wrapText="1" shrinkToFit="1"/>
    </xf>
    <xf numFmtId="1" fontId="1" fillId="0" borderId="5" xfId="0" applyNumberFormat="1" applyFont="1" applyFill="1" applyBorder="1" applyAlignment="1">
      <alignment horizontal="center" vertical="center" wrapText="1" shrinkToFit="1"/>
    </xf>
    <xf numFmtId="171" fontId="1" fillId="0" borderId="1" xfId="0" applyNumberFormat="1" applyFont="1" applyFill="1" applyBorder="1" applyAlignment="1">
      <alignment horizontal="center" vertical="center" wrapText="1" shrinkToFit="1"/>
    </xf>
    <xf numFmtId="49" fontId="1" fillId="5" borderId="6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4" borderId="3" xfId="0" applyNumberFormat="1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164" fontId="1" fillId="0" borderId="5" xfId="0" applyNumberFormat="1" applyFont="1" applyFill="1" applyBorder="1" applyAlignment="1">
      <alignment horizontal="center" vertical="center" wrapText="1" shrinkToFit="1"/>
    </xf>
    <xf numFmtId="0" fontId="1" fillId="4" borderId="6" xfId="0" applyFont="1" applyFill="1" applyBorder="1" applyAlignment="1">
      <alignment horizontal="center" vertical="center" wrapText="1" shrinkToFit="1"/>
    </xf>
    <xf numFmtId="49" fontId="1" fillId="4" borderId="5" xfId="0" applyNumberFormat="1" applyFont="1" applyFill="1" applyBorder="1" applyAlignment="1">
      <alignment horizontal="center" vertical="center" wrapText="1" shrinkToFit="1"/>
    </xf>
    <xf numFmtId="2" fontId="1" fillId="0" borderId="6" xfId="0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71" fontId="1" fillId="0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/>
    <xf numFmtId="49" fontId="1" fillId="4" borderId="1" xfId="0" applyNumberFormat="1" applyFont="1" applyFill="1" applyBorder="1" applyAlignment="1">
      <alignment horizontal="center" wrapText="1" shrinkToFit="1"/>
    </xf>
    <xf numFmtId="167" fontId="1" fillId="4" borderId="1" xfId="0" applyNumberFormat="1" applyFont="1" applyFill="1" applyBorder="1" applyAlignment="1">
      <alignment horizontal="center" wrapText="1" shrinkToFit="1"/>
    </xf>
    <xf numFmtId="49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174" fontId="1" fillId="0" borderId="1" xfId="0" applyNumberFormat="1" applyFont="1" applyFill="1" applyBorder="1" applyAlignment="1">
      <alignment horizontal="center" vertical="center" wrapText="1" readingOrder="1"/>
    </xf>
    <xf numFmtId="173" fontId="1" fillId="0" borderId="1" xfId="0" applyNumberFormat="1" applyFont="1" applyFill="1" applyBorder="1" applyAlignment="1">
      <alignment horizontal="center" vertical="center" wrapText="1" readingOrder="1"/>
    </xf>
    <xf numFmtId="174" fontId="4" fillId="0" borderId="1" xfId="0" applyNumberFormat="1" applyFont="1" applyFill="1" applyBorder="1" applyAlignment="1">
      <alignment horizontal="center" vertical="center" wrapText="1" readingOrder="1"/>
    </xf>
    <xf numFmtId="4" fontId="1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74" fontId="1" fillId="0" borderId="1" xfId="0" applyNumberFormat="1" applyFont="1" applyFill="1" applyBorder="1" applyAlignment="1">
      <alignment horizontal="center" vertical="center" wrapText="1"/>
    </xf>
    <xf numFmtId="171" fontId="1" fillId="0" borderId="1" xfId="0" applyNumberFormat="1" applyFont="1" applyFill="1" applyBorder="1" applyAlignment="1">
      <alignment horizontal="center" vertical="center"/>
    </xf>
    <xf numFmtId="173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4" fontId="1" fillId="4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 shrinkToFit="1"/>
    </xf>
    <xf numFmtId="4" fontId="1" fillId="6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7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 wrapText="1"/>
    </xf>
    <xf numFmtId="167" fontId="4" fillId="5" borderId="5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left" vertical="top" wrapText="1" indent="1"/>
    </xf>
    <xf numFmtId="1" fontId="6" fillId="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06"/>
  <sheetViews>
    <sheetView tabSelected="1" topLeftCell="A7" zoomScale="175" zoomScaleNormal="175" workbookViewId="0">
      <selection activeCell="H9" sqref="H9"/>
    </sheetView>
  </sheetViews>
  <sheetFormatPr defaultRowHeight="12.75" x14ac:dyDescent="0.25"/>
  <cols>
    <col min="1" max="1" width="5.85546875" style="8" customWidth="1"/>
    <col min="2" max="2" width="14.28515625" style="108" bestFit="1" customWidth="1"/>
    <col min="3" max="3" width="22.85546875" style="108" bestFit="1" customWidth="1"/>
    <col min="4" max="4" width="8.28515625" style="110" bestFit="1" customWidth="1"/>
    <col min="5" max="5" width="20.5703125" style="21" customWidth="1"/>
    <col min="6" max="6" width="9.28515625" style="21" bestFit="1" customWidth="1"/>
    <col min="7" max="16384" width="9.140625" style="8"/>
  </cols>
  <sheetData>
    <row r="1" spans="1:6" s="9" customFormat="1" ht="38.25" customHeight="1" x14ac:dyDescent="0.25">
      <c r="A1" s="67"/>
      <c r="B1" s="302" t="s">
        <v>19</v>
      </c>
      <c r="C1" s="303"/>
      <c r="D1" s="303"/>
      <c r="E1" s="303"/>
      <c r="F1" s="303"/>
    </row>
    <row r="2" spans="1:6" s="9" customFormat="1" ht="1.5" customHeight="1" x14ac:dyDescent="0.25">
      <c r="A2" s="67"/>
      <c r="B2" s="69"/>
      <c r="C2" s="69"/>
      <c r="D2" s="65"/>
      <c r="E2" s="69"/>
      <c r="F2" s="70"/>
    </row>
    <row r="3" spans="1:6" s="9" customFormat="1" ht="41.25" customHeight="1" x14ac:dyDescent="0.25">
      <c r="A3" s="67"/>
      <c r="B3" s="300" t="s">
        <v>726</v>
      </c>
      <c r="C3" s="301"/>
      <c r="D3" s="301"/>
      <c r="E3" s="301"/>
      <c r="F3" s="301"/>
    </row>
    <row r="4" spans="1:6" ht="12.95" customHeight="1" x14ac:dyDescent="0.25">
      <c r="A4" s="68"/>
      <c r="B4" s="72" t="s">
        <v>349</v>
      </c>
      <c r="C4" s="72" t="s">
        <v>21</v>
      </c>
      <c r="D4" s="109" t="s">
        <v>987</v>
      </c>
      <c r="E4" s="72" t="s">
        <v>897</v>
      </c>
      <c r="F4" s="73" t="s">
        <v>2</v>
      </c>
    </row>
    <row r="5" spans="1:6" s="68" customFormat="1" ht="12.95" customHeight="1" x14ac:dyDescent="0.25">
      <c r="B5" s="144" t="s">
        <v>985</v>
      </c>
      <c r="C5" s="144">
        <v>0</v>
      </c>
      <c r="D5" s="144">
        <v>1.2</v>
      </c>
      <c r="E5" s="221" t="s">
        <v>1515</v>
      </c>
      <c r="F5" s="138">
        <v>5.860000000000003</v>
      </c>
    </row>
    <row r="6" spans="1:6" ht="12.95" customHeight="1" x14ac:dyDescent="0.25">
      <c r="A6" s="68"/>
      <c r="B6" s="126" t="s">
        <v>898</v>
      </c>
      <c r="C6" s="126">
        <v>0</v>
      </c>
      <c r="D6" s="208" t="s">
        <v>777</v>
      </c>
      <c r="E6" s="209" t="s">
        <v>899</v>
      </c>
      <c r="F6" s="230">
        <v>1.91</v>
      </c>
    </row>
    <row r="7" spans="1:6" ht="12.95" customHeight="1" x14ac:dyDescent="0.25">
      <c r="A7" s="68"/>
      <c r="B7" s="74" t="s">
        <v>263</v>
      </c>
      <c r="C7" s="74">
        <v>3</v>
      </c>
      <c r="D7" s="122">
        <v>4</v>
      </c>
      <c r="E7" s="49" t="s">
        <v>980</v>
      </c>
      <c r="F7" s="76">
        <v>1.94</v>
      </c>
    </row>
    <row r="8" spans="1:6" ht="12.95" customHeight="1" x14ac:dyDescent="0.25">
      <c r="A8" s="68"/>
      <c r="B8" s="212" t="s">
        <v>263</v>
      </c>
      <c r="C8" s="212">
        <v>3</v>
      </c>
      <c r="D8" s="217">
        <v>4</v>
      </c>
      <c r="E8" s="158" t="s">
        <v>981</v>
      </c>
      <c r="F8" s="127">
        <v>1.52</v>
      </c>
    </row>
    <row r="9" spans="1:6" ht="12.95" customHeight="1" x14ac:dyDescent="0.25">
      <c r="A9" s="68"/>
      <c r="B9" s="87" t="s">
        <v>1076</v>
      </c>
      <c r="C9" s="102">
        <v>3</v>
      </c>
      <c r="D9" s="102">
        <v>100</v>
      </c>
      <c r="E9" s="146" t="s">
        <v>904</v>
      </c>
      <c r="F9" s="103">
        <v>22.16</v>
      </c>
    </row>
    <row r="10" spans="1:6" ht="12.95" customHeight="1" x14ac:dyDescent="0.25">
      <c r="A10" s="68"/>
      <c r="B10" s="106" t="s">
        <v>1217</v>
      </c>
      <c r="C10" s="106">
        <v>3</v>
      </c>
      <c r="D10" s="98">
        <v>100</v>
      </c>
      <c r="E10" s="222" t="s">
        <v>1458</v>
      </c>
      <c r="F10" s="90">
        <v>1.2</v>
      </c>
    </row>
    <row r="11" spans="1:6" ht="12.95" customHeight="1" x14ac:dyDescent="0.25">
      <c r="A11" s="68"/>
      <c r="B11" s="87" t="s">
        <v>1077</v>
      </c>
      <c r="C11" s="102">
        <v>3</v>
      </c>
      <c r="D11" s="102">
        <v>120</v>
      </c>
      <c r="E11" s="146" t="s">
        <v>1034</v>
      </c>
      <c r="F11" s="103">
        <v>9.33</v>
      </c>
    </row>
    <row r="12" spans="1:6" ht="12.95" customHeight="1" x14ac:dyDescent="0.25">
      <c r="A12" s="68"/>
      <c r="B12" s="84" t="s">
        <v>1077</v>
      </c>
      <c r="C12" s="102">
        <v>3</v>
      </c>
      <c r="D12" s="113">
        <v>120</v>
      </c>
      <c r="E12" s="224" t="s">
        <v>905</v>
      </c>
      <c r="F12" s="103">
        <v>80.67</v>
      </c>
    </row>
    <row r="13" spans="1:6" ht="12.95" customHeight="1" x14ac:dyDescent="0.25">
      <c r="A13" s="68"/>
      <c r="B13" s="87" t="s">
        <v>1077</v>
      </c>
      <c r="C13" s="102">
        <v>3</v>
      </c>
      <c r="D13" s="113">
        <v>120</v>
      </c>
      <c r="E13" s="224" t="s">
        <v>901</v>
      </c>
      <c r="F13" s="103">
        <v>9.15</v>
      </c>
    </row>
    <row r="14" spans="1:6" ht="12.95" customHeight="1" x14ac:dyDescent="0.25">
      <c r="A14" s="68"/>
      <c r="B14" s="106" t="s">
        <v>898</v>
      </c>
      <c r="C14" s="106">
        <v>3</v>
      </c>
      <c r="D14" s="107">
        <v>150</v>
      </c>
      <c r="E14" s="222" t="s">
        <v>1201</v>
      </c>
      <c r="F14" s="115">
        <v>1.5</v>
      </c>
    </row>
    <row r="15" spans="1:6" ht="12.95" customHeight="1" x14ac:dyDescent="0.25">
      <c r="A15" s="68"/>
      <c r="B15" s="106" t="s">
        <v>898</v>
      </c>
      <c r="C15" s="112">
        <v>3</v>
      </c>
      <c r="D15" s="98">
        <v>160</v>
      </c>
      <c r="E15" s="223" t="s">
        <v>1459</v>
      </c>
      <c r="F15" s="194">
        <v>8.16</v>
      </c>
    </row>
    <row r="16" spans="1:6" ht="12.95" customHeight="1" x14ac:dyDescent="0.25">
      <c r="A16" s="68"/>
      <c r="B16" s="106" t="s">
        <v>898</v>
      </c>
      <c r="C16" s="106">
        <v>3</v>
      </c>
      <c r="D16" s="107">
        <v>180</v>
      </c>
      <c r="E16" s="222" t="s">
        <v>1202</v>
      </c>
      <c r="F16" s="90">
        <v>1.1100000000000001</v>
      </c>
    </row>
    <row r="17" spans="1:6" ht="12.95" customHeight="1" x14ac:dyDescent="0.25">
      <c r="A17" s="68"/>
      <c r="B17" s="106" t="s">
        <v>898</v>
      </c>
      <c r="C17" s="106">
        <v>3</v>
      </c>
      <c r="D17" s="106">
        <v>200</v>
      </c>
      <c r="E17" s="195" t="s">
        <v>1203</v>
      </c>
      <c r="F17" s="90">
        <v>5.12</v>
      </c>
    </row>
    <row r="18" spans="1:6" ht="12.95" customHeight="1" x14ac:dyDescent="0.25">
      <c r="A18" s="68"/>
      <c r="B18" s="106" t="s">
        <v>898</v>
      </c>
      <c r="C18" s="106">
        <v>3</v>
      </c>
      <c r="D18" s="106">
        <v>200</v>
      </c>
      <c r="E18" s="195" t="s">
        <v>1204</v>
      </c>
      <c r="F18" s="90">
        <v>2.71</v>
      </c>
    </row>
    <row r="19" spans="1:6" ht="12.95" customHeight="1" x14ac:dyDescent="0.25">
      <c r="A19" s="68"/>
      <c r="B19" s="106" t="s">
        <v>898</v>
      </c>
      <c r="C19" s="106">
        <v>3</v>
      </c>
      <c r="D19" s="112">
        <v>200</v>
      </c>
      <c r="E19" s="195" t="s">
        <v>1205</v>
      </c>
      <c r="F19" s="90">
        <v>1.89</v>
      </c>
    </row>
    <row r="20" spans="1:6" ht="12.95" customHeight="1" x14ac:dyDescent="0.25">
      <c r="A20" s="68"/>
      <c r="B20" s="106" t="s">
        <v>898</v>
      </c>
      <c r="C20" s="106">
        <v>3</v>
      </c>
      <c r="D20" s="107">
        <v>200</v>
      </c>
      <c r="E20" s="222" t="s">
        <v>1520</v>
      </c>
      <c r="F20" s="90">
        <v>3.21</v>
      </c>
    </row>
    <row r="21" spans="1:6" ht="12.95" customHeight="1" x14ac:dyDescent="0.25">
      <c r="A21" s="68"/>
      <c r="B21" s="106" t="s">
        <v>898</v>
      </c>
      <c r="C21" s="101">
        <v>3</v>
      </c>
      <c r="D21" s="98">
        <v>250</v>
      </c>
      <c r="E21" s="63" t="s">
        <v>1206</v>
      </c>
      <c r="F21" s="194">
        <v>3.4</v>
      </c>
    </row>
    <row r="22" spans="1:6" ht="12.95" customHeight="1" x14ac:dyDescent="0.25">
      <c r="A22" s="68"/>
      <c r="B22" s="106" t="s">
        <v>898</v>
      </c>
      <c r="C22" s="112">
        <v>3</v>
      </c>
      <c r="D22" s="112">
        <v>250</v>
      </c>
      <c r="E22" s="63" t="s">
        <v>1207</v>
      </c>
      <c r="F22" s="194">
        <v>3.12</v>
      </c>
    </row>
    <row r="23" spans="1:6" ht="12.95" customHeight="1" x14ac:dyDescent="0.25">
      <c r="A23" s="68"/>
      <c r="B23" s="87" t="s">
        <v>898</v>
      </c>
      <c r="C23" s="87">
        <v>3</v>
      </c>
      <c r="D23" s="14" t="s">
        <v>242</v>
      </c>
      <c r="E23" s="88" t="s">
        <v>901</v>
      </c>
      <c r="F23" s="193">
        <v>20.010000000000002</v>
      </c>
    </row>
    <row r="24" spans="1:6" ht="12.95" customHeight="1" x14ac:dyDescent="0.25">
      <c r="A24" s="68"/>
      <c r="B24" s="87" t="s">
        <v>898</v>
      </c>
      <c r="C24" s="87">
        <v>3</v>
      </c>
      <c r="D24" s="14" t="s">
        <v>242</v>
      </c>
      <c r="E24" s="87" t="s">
        <v>902</v>
      </c>
      <c r="F24" s="193">
        <v>17.059999999999999</v>
      </c>
    </row>
    <row r="25" spans="1:6" ht="12.95" customHeight="1" x14ac:dyDescent="0.25">
      <c r="A25" s="68"/>
      <c r="B25" s="87" t="s">
        <v>898</v>
      </c>
      <c r="C25" s="74">
        <v>3</v>
      </c>
      <c r="D25" s="65" t="s">
        <v>242</v>
      </c>
      <c r="E25" s="88" t="s">
        <v>901</v>
      </c>
      <c r="F25" s="196">
        <v>14.87</v>
      </c>
    </row>
    <row r="26" spans="1:6" ht="12.95" customHeight="1" x14ac:dyDescent="0.25">
      <c r="A26" s="68"/>
      <c r="B26" s="87" t="s">
        <v>898</v>
      </c>
      <c r="C26" s="87">
        <v>3</v>
      </c>
      <c r="D26" s="14" t="s">
        <v>180</v>
      </c>
      <c r="E26" s="88" t="s">
        <v>901</v>
      </c>
      <c r="F26" s="193">
        <v>14.46</v>
      </c>
    </row>
    <row r="27" spans="1:6" ht="12.95" customHeight="1" x14ac:dyDescent="0.25">
      <c r="A27" s="68"/>
      <c r="B27" s="87" t="s">
        <v>898</v>
      </c>
      <c r="C27" s="87">
        <v>3</v>
      </c>
      <c r="D27" s="14" t="s">
        <v>180</v>
      </c>
      <c r="E27" s="87" t="s">
        <v>902</v>
      </c>
      <c r="F27" s="193">
        <v>17.05</v>
      </c>
    </row>
    <row r="28" spans="1:6" ht="12.95" customHeight="1" x14ac:dyDescent="0.25">
      <c r="A28" s="68"/>
      <c r="B28" s="87" t="s">
        <v>898</v>
      </c>
      <c r="C28" s="74">
        <v>3</v>
      </c>
      <c r="D28" s="65" t="s">
        <v>180</v>
      </c>
      <c r="E28" s="88" t="s">
        <v>901</v>
      </c>
      <c r="F28" s="196">
        <v>11.02</v>
      </c>
    </row>
    <row r="29" spans="1:6" ht="12.95" customHeight="1" x14ac:dyDescent="0.25">
      <c r="A29" s="68"/>
      <c r="B29" s="87" t="s">
        <v>898</v>
      </c>
      <c r="C29" s="87">
        <v>3</v>
      </c>
      <c r="D29" s="14" t="s">
        <v>53</v>
      </c>
      <c r="E29" s="88" t="s">
        <v>901</v>
      </c>
      <c r="F29" s="193">
        <v>20.93</v>
      </c>
    </row>
    <row r="30" spans="1:6" ht="12.95" customHeight="1" x14ac:dyDescent="0.25">
      <c r="A30" s="68"/>
      <c r="B30" s="87" t="s">
        <v>898</v>
      </c>
      <c r="C30" s="87">
        <v>3</v>
      </c>
      <c r="D30" s="14" t="s">
        <v>53</v>
      </c>
      <c r="E30" s="87" t="s">
        <v>902</v>
      </c>
      <c r="F30" s="193">
        <v>10.62</v>
      </c>
    </row>
    <row r="31" spans="1:6" ht="12.95" customHeight="1" x14ac:dyDescent="0.25">
      <c r="A31" s="68"/>
      <c r="B31" s="87" t="s">
        <v>898</v>
      </c>
      <c r="C31" s="87">
        <v>3</v>
      </c>
      <c r="D31" s="14" t="s">
        <v>245</v>
      </c>
      <c r="E31" s="88" t="s">
        <v>901</v>
      </c>
      <c r="F31" s="70">
        <v>18.32</v>
      </c>
    </row>
    <row r="32" spans="1:6" ht="12.95" customHeight="1" x14ac:dyDescent="0.25">
      <c r="A32" s="68"/>
      <c r="B32" s="87" t="s">
        <v>898</v>
      </c>
      <c r="C32" s="87">
        <v>3</v>
      </c>
      <c r="D32" s="14" t="s">
        <v>245</v>
      </c>
      <c r="E32" s="87" t="s">
        <v>902</v>
      </c>
      <c r="F32" s="70">
        <v>16.670000000000002</v>
      </c>
    </row>
    <row r="33" spans="1:6" ht="12.95" customHeight="1" x14ac:dyDescent="0.25">
      <c r="A33" s="68"/>
      <c r="B33" s="87" t="s">
        <v>898</v>
      </c>
      <c r="C33" s="74">
        <v>3</v>
      </c>
      <c r="D33" s="65" t="s">
        <v>245</v>
      </c>
      <c r="E33" s="88" t="s">
        <v>901</v>
      </c>
      <c r="F33" s="196">
        <v>10.18</v>
      </c>
    </row>
    <row r="34" spans="1:6" ht="12.95" customHeight="1" x14ac:dyDescent="0.25">
      <c r="A34" s="68"/>
      <c r="B34" s="87" t="s">
        <v>898</v>
      </c>
      <c r="C34" s="87">
        <v>3</v>
      </c>
      <c r="D34" s="14" t="s">
        <v>979</v>
      </c>
      <c r="E34" s="88" t="s">
        <v>900</v>
      </c>
      <c r="F34" s="86">
        <v>4</v>
      </c>
    </row>
    <row r="35" spans="1:6" ht="12.95" customHeight="1" x14ac:dyDescent="0.25">
      <c r="A35" s="68"/>
      <c r="B35" s="87" t="s">
        <v>898</v>
      </c>
      <c r="C35" s="87">
        <v>3</v>
      </c>
      <c r="D35" s="14" t="s">
        <v>154</v>
      </c>
      <c r="E35" s="88" t="s">
        <v>901</v>
      </c>
      <c r="F35" s="92">
        <v>10.02</v>
      </c>
    </row>
    <row r="36" spans="1:6" ht="12.95" customHeight="1" x14ac:dyDescent="0.25">
      <c r="A36" s="68"/>
      <c r="B36" s="87" t="s">
        <v>898</v>
      </c>
      <c r="C36" s="197">
        <v>3</v>
      </c>
      <c r="D36" s="14" t="s">
        <v>154</v>
      </c>
      <c r="E36" s="88" t="s">
        <v>901</v>
      </c>
      <c r="F36" s="92">
        <v>10.210000000000001</v>
      </c>
    </row>
    <row r="37" spans="1:6" ht="12.95" customHeight="1" x14ac:dyDescent="0.25">
      <c r="A37" s="68"/>
      <c r="B37" s="87" t="s">
        <v>898</v>
      </c>
      <c r="C37" s="74">
        <v>3</v>
      </c>
      <c r="D37" s="65" t="s">
        <v>154</v>
      </c>
      <c r="E37" s="88" t="s">
        <v>901</v>
      </c>
      <c r="F37" s="196">
        <v>12.37</v>
      </c>
    </row>
    <row r="38" spans="1:6" ht="12.95" customHeight="1" x14ac:dyDescent="0.25">
      <c r="A38" s="68"/>
      <c r="B38" s="87" t="s">
        <v>898</v>
      </c>
      <c r="C38" s="78">
        <v>3</v>
      </c>
      <c r="D38" s="14" t="s">
        <v>777</v>
      </c>
      <c r="E38" s="88" t="s">
        <v>901</v>
      </c>
      <c r="F38" s="93">
        <v>31.34</v>
      </c>
    </row>
    <row r="39" spans="1:6" ht="12.95" customHeight="1" x14ac:dyDescent="0.25">
      <c r="A39" s="68"/>
      <c r="B39" s="87" t="s">
        <v>898</v>
      </c>
      <c r="C39" s="87">
        <v>3</v>
      </c>
      <c r="D39" s="14" t="s">
        <v>247</v>
      </c>
      <c r="E39" s="88" t="s">
        <v>901</v>
      </c>
      <c r="F39" s="86">
        <v>7.16</v>
      </c>
    </row>
    <row r="40" spans="1:6" ht="12.95" customHeight="1" x14ac:dyDescent="0.25">
      <c r="A40" s="68"/>
      <c r="B40" s="87" t="s">
        <v>898</v>
      </c>
      <c r="C40" s="197">
        <v>3</v>
      </c>
      <c r="D40" s="14" t="s">
        <v>184</v>
      </c>
      <c r="E40" s="87" t="s">
        <v>902</v>
      </c>
      <c r="F40" s="93">
        <v>2.85</v>
      </c>
    </row>
    <row r="41" spans="1:6" ht="12.95" customHeight="1" x14ac:dyDescent="0.25">
      <c r="A41" s="68"/>
      <c r="B41" s="87" t="s">
        <v>898</v>
      </c>
      <c r="C41" s="197">
        <v>3</v>
      </c>
      <c r="D41" s="14" t="s">
        <v>58</v>
      </c>
      <c r="E41" s="88" t="s">
        <v>901</v>
      </c>
      <c r="F41" s="93">
        <v>2.57</v>
      </c>
    </row>
    <row r="42" spans="1:6" ht="12.95" customHeight="1" x14ac:dyDescent="0.25">
      <c r="A42" s="68"/>
      <c r="B42" s="87" t="s">
        <v>898</v>
      </c>
      <c r="C42" s="87">
        <v>3</v>
      </c>
      <c r="D42" s="14" t="s">
        <v>278</v>
      </c>
      <c r="E42" s="88" t="s">
        <v>901</v>
      </c>
      <c r="F42" s="90">
        <v>18.39</v>
      </c>
    </row>
    <row r="43" spans="1:6" ht="12.75" customHeight="1" x14ac:dyDescent="0.25">
      <c r="A43" s="68"/>
      <c r="B43" s="87" t="s">
        <v>898</v>
      </c>
      <c r="C43" s="197">
        <v>3</v>
      </c>
      <c r="D43" s="14" t="s">
        <v>655</v>
      </c>
      <c r="E43" s="87" t="s">
        <v>902</v>
      </c>
      <c r="F43" s="93">
        <v>7.62</v>
      </c>
    </row>
    <row r="44" spans="1:6" ht="12.95" customHeight="1" x14ac:dyDescent="0.25">
      <c r="A44" s="68"/>
      <c r="B44" s="87" t="s">
        <v>898</v>
      </c>
      <c r="C44" s="87">
        <v>3</v>
      </c>
      <c r="D44" s="14" t="s">
        <v>240</v>
      </c>
      <c r="E44" s="88" t="s">
        <v>901</v>
      </c>
      <c r="F44" s="90">
        <v>14.967000000000001</v>
      </c>
    </row>
    <row r="45" spans="1:6" ht="12.95" customHeight="1" x14ac:dyDescent="0.25">
      <c r="A45" s="68"/>
      <c r="B45" s="87" t="s">
        <v>898</v>
      </c>
      <c r="C45" s="197">
        <v>3</v>
      </c>
      <c r="D45" s="218" t="s">
        <v>657</v>
      </c>
      <c r="E45" s="88" t="s">
        <v>901</v>
      </c>
      <c r="F45" s="93"/>
    </row>
    <row r="46" spans="1:6" ht="12.95" customHeight="1" x14ac:dyDescent="0.25">
      <c r="A46" s="68"/>
      <c r="B46" s="87" t="s">
        <v>898</v>
      </c>
      <c r="C46" s="87">
        <v>3</v>
      </c>
      <c r="D46" s="218" t="s">
        <v>238</v>
      </c>
      <c r="E46" s="81" t="s">
        <v>901</v>
      </c>
      <c r="F46" s="90">
        <v>12.32</v>
      </c>
    </row>
    <row r="47" spans="1:6" x14ac:dyDescent="0.25">
      <c r="A47" s="68"/>
      <c r="B47" s="87" t="s">
        <v>898</v>
      </c>
      <c r="C47" s="87">
        <v>3</v>
      </c>
      <c r="D47" s="218" t="s">
        <v>239</v>
      </c>
      <c r="E47" s="88" t="s">
        <v>901</v>
      </c>
      <c r="F47" s="91">
        <v>37.68</v>
      </c>
    </row>
    <row r="48" spans="1:6" ht="12.95" customHeight="1" x14ac:dyDescent="0.25">
      <c r="A48" s="68"/>
      <c r="B48" s="87" t="s">
        <v>898</v>
      </c>
      <c r="C48" s="74">
        <v>3</v>
      </c>
      <c r="D48" s="215" t="s">
        <v>239</v>
      </c>
      <c r="E48" s="88" t="s">
        <v>901</v>
      </c>
      <c r="F48" s="196">
        <v>5.68</v>
      </c>
    </row>
    <row r="49" spans="1:6" ht="12.95" customHeight="1" x14ac:dyDescent="0.25">
      <c r="A49" s="68"/>
      <c r="B49" s="106" t="s">
        <v>898</v>
      </c>
      <c r="C49" s="106">
        <v>10</v>
      </c>
      <c r="D49" s="106">
        <v>160</v>
      </c>
      <c r="E49" s="195" t="s">
        <v>1210</v>
      </c>
      <c r="F49" s="90">
        <v>2.57</v>
      </c>
    </row>
    <row r="50" spans="1:6" ht="12.95" customHeight="1" x14ac:dyDescent="0.25">
      <c r="A50" s="68"/>
      <c r="B50" s="106" t="s">
        <v>898</v>
      </c>
      <c r="C50" s="106">
        <v>10</v>
      </c>
      <c r="D50" s="106">
        <v>160</v>
      </c>
      <c r="E50" s="195" t="s">
        <v>1211</v>
      </c>
      <c r="F50" s="90">
        <v>6.22</v>
      </c>
    </row>
    <row r="51" spans="1:6" ht="12.95" customHeight="1" x14ac:dyDescent="0.25">
      <c r="A51" s="68"/>
      <c r="B51" s="106" t="s">
        <v>898</v>
      </c>
      <c r="C51" s="106">
        <v>10</v>
      </c>
      <c r="D51" s="106" t="s">
        <v>1208</v>
      </c>
      <c r="E51" s="195" t="s">
        <v>1209</v>
      </c>
      <c r="F51" s="90">
        <v>0.28000000000000003</v>
      </c>
    </row>
    <row r="52" spans="1:6" ht="12.95" customHeight="1" x14ac:dyDescent="0.25">
      <c r="A52" s="68"/>
      <c r="B52" s="106" t="s">
        <v>898</v>
      </c>
      <c r="C52" s="106">
        <v>20</v>
      </c>
      <c r="D52" s="106">
        <v>8</v>
      </c>
      <c r="E52" s="87" t="s">
        <v>1212</v>
      </c>
      <c r="F52" s="90">
        <v>0.46</v>
      </c>
    </row>
    <row r="53" spans="1:6" ht="12.95" customHeight="1" x14ac:dyDescent="0.25">
      <c r="A53" s="68"/>
      <c r="B53" s="106" t="s">
        <v>898</v>
      </c>
      <c r="C53" s="106">
        <v>20</v>
      </c>
      <c r="D53" s="107">
        <v>45</v>
      </c>
      <c r="E53" s="195" t="s">
        <v>1213</v>
      </c>
      <c r="F53" s="90">
        <v>2.13</v>
      </c>
    </row>
    <row r="54" spans="1:6" ht="12.95" customHeight="1" x14ac:dyDescent="0.25">
      <c r="A54" s="68"/>
      <c r="B54" s="106" t="s">
        <v>898</v>
      </c>
      <c r="C54" s="106">
        <v>20</v>
      </c>
      <c r="D54" s="106">
        <v>50</v>
      </c>
      <c r="E54" s="195" t="s">
        <v>1214</v>
      </c>
      <c r="F54" s="90">
        <v>6.26</v>
      </c>
    </row>
    <row r="55" spans="1:6" ht="12.95" customHeight="1" x14ac:dyDescent="0.25">
      <c r="A55" s="68"/>
      <c r="B55" s="106" t="s">
        <v>898</v>
      </c>
      <c r="C55" s="106">
        <v>20</v>
      </c>
      <c r="D55" s="106">
        <v>70</v>
      </c>
      <c r="E55" s="195" t="s">
        <v>1215</v>
      </c>
      <c r="F55" s="90">
        <v>1.26</v>
      </c>
    </row>
    <row r="56" spans="1:6" ht="12.95" customHeight="1" x14ac:dyDescent="0.25">
      <c r="A56" s="68"/>
      <c r="B56" s="112" t="s">
        <v>898</v>
      </c>
      <c r="C56" s="112">
        <v>20</v>
      </c>
      <c r="D56" s="112">
        <v>100</v>
      </c>
      <c r="E56" s="51" t="s">
        <v>1073</v>
      </c>
      <c r="F56" s="34">
        <v>0.82199999999999995</v>
      </c>
    </row>
    <row r="57" spans="1:6" ht="12.95" customHeight="1" x14ac:dyDescent="0.25">
      <c r="A57" s="68"/>
      <c r="B57" s="112" t="s">
        <v>898</v>
      </c>
      <c r="C57" s="112">
        <v>20</v>
      </c>
      <c r="D57" s="112">
        <v>100</v>
      </c>
      <c r="E57" s="51">
        <v>620</v>
      </c>
      <c r="F57" s="34">
        <v>0.312</v>
      </c>
    </row>
    <row r="58" spans="1:6" ht="12.95" customHeight="1" x14ac:dyDescent="0.25">
      <c r="A58" s="68"/>
      <c r="B58" s="112" t="s">
        <v>898</v>
      </c>
      <c r="C58" s="112">
        <v>20</v>
      </c>
      <c r="D58" s="112">
        <v>100</v>
      </c>
      <c r="E58" s="51">
        <v>760</v>
      </c>
      <c r="F58" s="34">
        <v>0.47799999999999998</v>
      </c>
    </row>
    <row r="59" spans="1:6" ht="12.95" customHeight="1" x14ac:dyDescent="0.25">
      <c r="A59" s="68"/>
      <c r="B59" s="112" t="s">
        <v>898</v>
      </c>
      <c r="C59" s="112">
        <v>20</v>
      </c>
      <c r="D59" s="112">
        <v>100</v>
      </c>
      <c r="E59" s="51" t="s">
        <v>909</v>
      </c>
      <c r="F59" s="194">
        <v>4.9540000000000006</v>
      </c>
    </row>
    <row r="60" spans="1:6" ht="12.95" customHeight="1" x14ac:dyDescent="0.25">
      <c r="A60" s="68"/>
      <c r="B60" s="106" t="s">
        <v>1217</v>
      </c>
      <c r="C60" s="106">
        <v>20</v>
      </c>
      <c r="D60" s="106">
        <v>100</v>
      </c>
      <c r="E60" s="195" t="s">
        <v>1218</v>
      </c>
      <c r="F60" s="90">
        <v>2.2000000000000002</v>
      </c>
    </row>
    <row r="61" spans="1:6" ht="12.95" customHeight="1" x14ac:dyDescent="0.25">
      <c r="A61" s="68"/>
      <c r="B61" s="106" t="s">
        <v>1217</v>
      </c>
      <c r="C61" s="106">
        <v>20</v>
      </c>
      <c r="D61" s="106">
        <v>100</v>
      </c>
      <c r="E61" s="195" t="s">
        <v>1219</v>
      </c>
      <c r="F61" s="90">
        <v>7.95</v>
      </c>
    </row>
    <row r="62" spans="1:6" ht="12.95" customHeight="1" x14ac:dyDescent="0.25">
      <c r="A62" s="68"/>
      <c r="B62" s="106" t="s">
        <v>1217</v>
      </c>
      <c r="C62" s="106">
        <v>20</v>
      </c>
      <c r="D62" s="107">
        <v>100</v>
      </c>
      <c r="E62" s="222" t="s">
        <v>1220</v>
      </c>
      <c r="F62" s="90">
        <v>4.08</v>
      </c>
    </row>
    <row r="63" spans="1:6" ht="12.95" customHeight="1" x14ac:dyDescent="0.25">
      <c r="A63" s="68"/>
      <c r="B63" s="106" t="s">
        <v>1217</v>
      </c>
      <c r="C63" s="106">
        <v>20</v>
      </c>
      <c r="D63" s="106">
        <v>100</v>
      </c>
      <c r="E63" s="195" t="s">
        <v>1221</v>
      </c>
      <c r="F63" s="90">
        <v>3.32</v>
      </c>
    </row>
    <row r="64" spans="1:6" ht="12.95" customHeight="1" x14ac:dyDescent="0.25">
      <c r="A64" s="68"/>
      <c r="B64" s="112" t="s">
        <v>898</v>
      </c>
      <c r="C64" s="112">
        <v>20</v>
      </c>
      <c r="D64" s="112">
        <v>110</v>
      </c>
      <c r="E64" s="51" t="s">
        <v>1074</v>
      </c>
      <c r="F64" s="194">
        <v>1.6300000000000001</v>
      </c>
    </row>
    <row r="65" spans="1:7" ht="12.95" customHeight="1" x14ac:dyDescent="0.25">
      <c r="A65" s="68"/>
      <c r="B65" s="112" t="s">
        <v>898</v>
      </c>
      <c r="C65" s="112">
        <v>20</v>
      </c>
      <c r="D65" s="112">
        <v>110</v>
      </c>
      <c r="E65" s="51" t="s">
        <v>910</v>
      </c>
      <c r="F65" s="194">
        <v>6.6850000000000005</v>
      </c>
    </row>
    <row r="66" spans="1:7" ht="12.95" customHeight="1" x14ac:dyDescent="0.25">
      <c r="A66" s="68"/>
      <c r="B66" s="106" t="s">
        <v>1217</v>
      </c>
      <c r="C66" s="106">
        <v>20</v>
      </c>
      <c r="D66" s="106">
        <v>115</v>
      </c>
      <c r="E66" s="195" t="s">
        <v>1224</v>
      </c>
      <c r="F66" s="90">
        <v>2.61</v>
      </c>
    </row>
    <row r="67" spans="1:7" s="68" customFormat="1" ht="12.95" customHeight="1" x14ac:dyDescent="0.25">
      <c r="B67" s="106" t="s">
        <v>898</v>
      </c>
      <c r="C67" s="106">
        <v>20</v>
      </c>
      <c r="D67" s="107">
        <v>120</v>
      </c>
      <c r="E67" s="195" t="s">
        <v>907</v>
      </c>
      <c r="F67" s="90">
        <v>8.44</v>
      </c>
    </row>
    <row r="68" spans="1:7" ht="12.95" customHeight="1" x14ac:dyDescent="0.25">
      <c r="A68" s="68"/>
      <c r="B68" s="106" t="s">
        <v>1217</v>
      </c>
      <c r="C68" s="106">
        <v>20</v>
      </c>
      <c r="D68" s="107">
        <v>120</v>
      </c>
      <c r="E68" s="195" t="s">
        <v>1225</v>
      </c>
      <c r="F68" s="90">
        <v>7.08</v>
      </c>
    </row>
    <row r="69" spans="1:7" ht="12.95" customHeight="1" x14ac:dyDescent="0.25">
      <c r="A69" s="68"/>
      <c r="B69" s="106" t="s">
        <v>1217</v>
      </c>
      <c r="C69" s="106">
        <v>20</v>
      </c>
      <c r="D69" s="107">
        <v>120</v>
      </c>
      <c r="E69" s="195" t="s">
        <v>1226</v>
      </c>
      <c r="F69" s="90">
        <v>2.048</v>
      </c>
    </row>
    <row r="70" spans="1:7" ht="12.95" customHeight="1" x14ac:dyDescent="0.25">
      <c r="A70" s="68"/>
      <c r="B70" s="106" t="s">
        <v>1217</v>
      </c>
      <c r="C70" s="106">
        <v>20</v>
      </c>
      <c r="D70" s="106">
        <v>130</v>
      </c>
      <c r="E70" s="195" t="s">
        <v>1227</v>
      </c>
      <c r="F70" s="90">
        <v>0.12</v>
      </c>
      <c r="G70" s="7"/>
    </row>
    <row r="71" spans="1:7" ht="12.95" customHeight="1" x14ac:dyDescent="0.25">
      <c r="A71" s="68"/>
      <c r="B71" s="106" t="s">
        <v>1217</v>
      </c>
      <c r="C71" s="106">
        <v>20</v>
      </c>
      <c r="D71" s="106">
        <v>130</v>
      </c>
      <c r="E71" s="195" t="s">
        <v>1228</v>
      </c>
      <c r="F71" s="90">
        <v>5.15</v>
      </c>
      <c r="G71" s="7"/>
    </row>
    <row r="72" spans="1:7" ht="12.75" customHeight="1" x14ac:dyDescent="0.25">
      <c r="A72" s="68"/>
      <c r="B72" s="106" t="s">
        <v>1217</v>
      </c>
      <c r="C72" s="112">
        <v>20</v>
      </c>
      <c r="D72" s="112">
        <v>135</v>
      </c>
      <c r="E72" s="63" t="s">
        <v>1229</v>
      </c>
      <c r="F72" s="194"/>
    </row>
    <row r="73" spans="1:7" ht="12.75" customHeight="1" x14ac:dyDescent="0.25">
      <c r="A73" s="68"/>
      <c r="B73" s="106" t="s">
        <v>1217</v>
      </c>
      <c r="C73" s="106">
        <v>20</v>
      </c>
      <c r="D73" s="106">
        <v>160</v>
      </c>
      <c r="E73" s="195" t="s">
        <v>1232</v>
      </c>
      <c r="F73" s="90">
        <v>7.53</v>
      </c>
      <c r="G73" s="57"/>
    </row>
    <row r="74" spans="1:7" s="68" customFormat="1" ht="12.95" customHeight="1" x14ac:dyDescent="0.25">
      <c r="B74" s="106" t="s">
        <v>1217</v>
      </c>
      <c r="C74" s="106">
        <v>20</v>
      </c>
      <c r="D74" s="107">
        <v>160</v>
      </c>
      <c r="E74" s="195" t="s">
        <v>1233</v>
      </c>
      <c r="F74" s="90">
        <v>10.050000000000001</v>
      </c>
    </row>
    <row r="75" spans="1:7" ht="12.75" customHeight="1" x14ac:dyDescent="0.25">
      <c r="A75" s="68"/>
      <c r="B75" s="106" t="s">
        <v>1217</v>
      </c>
      <c r="C75" s="106">
        <v>20</v>
      </c>
      <c r="D75" s="106">
        <v>160</v>
      </c>
      <c r="E75" s="195" t="s">
        <v>1234</v>
      </c>
      <c r="F75" s="90">
        <v>8.1199999999999992</v>
      </c>
    </row>
    <row r="76" spans="1:7" ht="12.75" customHeight="1" x14ac:dyDescent="0.25">
      <c r="A76" s="68"/>
      <c r="B76" s="106" t="s">
        <v>1217</v>
      </c>
      <c r="C76" s="106">
        <v>20</v>
      </c>
      <c r="D76" s="106">
        <v>160</v>
      </c>
      <c r="E76" s="195" t="s">
        <v>1235</v>
      </c>
      <c r="F76" s="90">
        <v>6.14</v>
      </c>
    </row>
    <row r="77" spans="1:7" ht="12.75" customHeight="1" x14ac:dyDescent="0.25">
      <c r="A77" s="68"/>
      <c r="B77" s="106" t="s">
        <v>1217</v>
      </c>
      <c r="C77" s="106">
        <v>20</v>
      </c>
      <c r="D77" s="106">
        <v>160</v>
      </c>
      <c r="E77" s="64" t="s">
        <v>1236</v>
      </c>
      <c r="F77" s="90">
        <v>11.95</v>
      </c>
    </row>
    <row r="78" spans="1:7" ht="12.75" customHeight="1" x14ac:dyDescent="0.25">
      <c r="A78" s="68"/>
      <c r="B78" s="106" t="s">
        <v>1217</v>
      </c>
      <c r="C78" s="106">
        <v>20</v>
      </c>
      <c r="D78" s="106">
        <v>160</v>
      </c>
      <c r="E78" s="195" t="s">
        <v>1237</v>
      </c>
      <c r="F78" s="90">
        <v>6.15</v>
      </c>
    </row>
    <row r="79" spans="1:7" s="68" customFormat="1" ht="12.75" customHeight="1" x14ac:dyDescent="0.25">
      <c r="B79" s="106" t="s">
        <v>1217</v>
      </c>
      <c r="C79" s="106">
        <v>20</v>
      </c>
      <c r="D79" s="106">
        <v>160</v>
      </c>
      <c r="E79" s="195" t="s">
        <v>1238</v>
      </c>
      <c r="F79" s="90">
        <v>6.22</v>
      </c>
    </row>
    <row r="80" spans="1:7" ht="12.75" customHeight="1" x14ac:dyDescent="0.25">
      <c r="A80" s="68"/>
      <c r="B80" s="106" t="s">
        <v>1217</v>
      </c>
      <c r="C80" s="106">
        <v>20</v>
      </c>
      <c r="D80" s="106">
        <v>165</v>
      </c>
      <c r="E80" s="195" t="s">
        <v>1239</v>
      </c>
      <c r="F80" s="90">
        <v>8.0120000000000005</v>
      </c>
    </row>
    <row r="81" spans="1:6" ht="12.75" customHeight="1" x14ac:dyDescent="0.25">
      <c r="A81" s="68"/>
      <c r="B81" s="106" t="s">
        <v>898</v>
      </c>
      <c r="C81" s="106">
        <v>20</v>
      </c>
      <c r="D81" s="106">
        <v>170</v>
      </c>
      <c r="E81" s="195" t="s">
        <v>1240</v>
      </c>
      <c r="F81" s="90">
        <v>11.05</v>
      </c>
    </row>
    <row r="82" spans="1:6" ht="12.75" customHeight="1" x14ac:dyDescent="0.25">
      <c r="A82" s="68"/>
      <c r="B82" s="106" t="s">
        <v>1217</v>
      </c>
      <c r="C82" s="106">
        <v>20</v>
      </c>
      <c r="D82" s="106">
        <v>170</v>
      </c>
      <c r="E82" s="195" t="s">
        <v>1241</v>
      </c>
      <c r="F82" s="90">
        <v>8.09</v>
      </c>
    </row>
    <row r="83" spans="1:6" x14ac:dyDescent="0.25">
      <c r="A83" s="68"/>
      <c r="B83" s="106" t="s">
        <v>898</v>
      </c>
      <c r="C83" s="106">
        <v>20</v>
      </c>
      <c r="D83" s="106">
        <v>180</v>
      </c>
      <c r="E83" s="195" t="s">
        <v>1242</v>
      </c>
      <c r="F83" s="90">
        <v>6.34</v>
      </c>
    </row>
    <row r="84" spans="1:6" ht="12.75" customHeight="1" x14ac:dyDescent="0.25">
      <c r="A84" s="68"/>
      <c r="B84" s="106" t="s">
        <v>1217</v>
      </c>
      <c r="C84" s="106">
        <v>20</v>
      </c>
      <c r="D84" s="107">
        <v>180</v>
      </c>
      <c r="E84" s="222" t="s">
        <v>1243</v>
      </c>
      <c r="F84" s="90">
        <v>6.82</v>
      </c>
    </row>
    <row r="85" spans="1:6" ht="12.95" customHeight="1" x14ac:dyDescent="0.25">
      <c r="A85" s="68"/>
      <c r="B85" s="106" t="s">
        <v>1217</v>
      </c>
      <c r="C85" s="106">
        <v>20</v>
      </c>
      <c r="D85" s="107">
        <v>190</v>
      </c>
      <c r="E85" s="222" t="s">
        <v>1244</v>
      </c>
      <c r="F85" s="90">
        <v>5.29</v>
      </c>
    </row>
    <row r="86" spans="1:6" ht="12.95" customHeight="1" x14ac:dyDescent="0.25">
      <c r="A86" s="68"/>
      <c r="B86" s="106" t="s">
        <v>898</v>
      </c>
      <c r="C86" s="106">
        <v>20</v>
      </c>
      <c r="D86" s="106">
        <v>200</v>
      </c>
      <c r="E86" s="195" t="s">
        <v>1247</v>
      </c>
      <c r="F86" s="90">
        <v>8.27</v>
      </c>
    </row>
    <row r="87" spans="1:6" ht="12.95" customHeight="1" x14ac:dyDescent="0.25">
      <c r="A87" s="68"/>
      <c r="B87" s="106" t="s">
        <v>898</v>
      </c>
      <c r="C87" s="106">
        <v>20</v>
      </c>
      <c r="D87" s="106">
        <v>200</v>
      </c>
      <c r="E87" s="195" t="s">
        <v>1248</v>
      </c>
      <c r="F87" s="90">
        <v>8.56</v>
      </c>
    </row>
    <row r="88" spans="1:6" ht="12.95" customHeight="1" x14ac:dyDescent="0.25">
      <c r="A88" s="68"/>
      <c r="B88" s="106" t="s">
        <v>1217</v>
      </c>
      <c r="C88" s="106">
        <v>20</v>
      </c>
      <c r="D88" s="112">
        <v>200</v>
      </c>
      <c r="E88" s="195" t="s">
        <v>1249</v>
      </c>
      <c r="F88" s="90">
        <v>2.54</v>
      </c>
    </row>
    <row r="89" spans="1:6" ht="12.95" customHeight="1" x14ac:dyDescent="0.25">
      <c r="A89" s="68"/>
      <c r="B89" s="106" t="s">
        <v>1217</v>
      </c>
      <c r="C89" s="106">
        <v>20</v>
      </c>
      <c r="D89" s="112">
        <v>200</v>
      </c>
      <c r="E89" s="195" t="s">
        <v>1250</v>
      </c>
      <c r="F89" s="90">
        <v>1.6</v>
      </c>
    </row>
    <row r="90" spans="1:6" ht="12.95" customHeight="1" x14ac:dyDescent="0.25">
      <c r="A90" s="68"/>
      <c r="B90" s="106" t="s">
        <v>1217</v>
      </c>
      <c r="C90" s="106">
        <v>20</v>
      </c>
      <c r="D90" s="112">
        <v>200</v>
      </c>
      <c r="E90" s="195" t="s">
        <v>1251</v>
      </c>
      <c r="F90" s="90">
        <v>1.46</v>
      </c>
    </row>
    <row r="91" spans="1:6" ht="12.95" customHeight="1" x14ac:dyDescent="0.25">
      <c r="A91" s="68"/>
      <c r="B91" s="106" t="s">
        <v>898</v>
      </c>
      <c r="C91" s="106">
        <v>20</v>
      </c>
      <c r="D91" s="112">
        <v>200</v>
      </c>
      <c r="E91" s="195" t="s">
        <v>1252</v>
      </c>
      <c r="F91" s="90">
        <v>2.88</v>
      </c>
    </row>
    <row r="92" spans="1:6" ht="12.95" customHeight="1" x14ac:dyDescent="0.25">
      <c r="A92" s="68"/>
      <c r="B92" s="106" t="s">
        <v>898</v>
      </c>
      <c r="C92" s="112">
        <v>20</v>
      </c>
      <c r="D92" s="112">
        <v>250</v>
      </c>
      <c r="E92" s="63" t="s">
        <v>1253</v>
      </c>
      <c r="F92" s="194">
        <v>3.3</v>
      </c>
    </row>
    <row r="93" spans="1:6" s="68" customFormat="1" ht="12.95" customHeight="1" x14ac:dyDescent="0.25">
      <c r="B93" s="87" t="s">
        <v>898</v>
      </c>
      <c r="C93" s="196">
        <v>20</v>
      </c>
      <c r="D93" s="65" t="s">
        <v>242</v>
      </c>
      <c r="E93" s="88" t="s">
        <v>901</v>
      </c>
      <c r="F93" s="196">
        <v>7.21</v>
      </c>
    </row>
    <row r="94" spans="1:6" ht="12.95" customHeight="1" x14ac:dyDescent="0.25">
      <c r="A94" s="68"/>
      <c r="B94" s="106" t="s">
        <v>1217</v>
      </c>
      <c r="C94" s="106">
        <v>20</v>
      </c>
      <c r="D94" s="106" t="s">
        <v>1222</v>
      </c>
      <c r="E94" s="195" t="s">
        <v>1223</v>
      </c>
      <c r="F94" s="90">
        <v>2.37</v>
      </c>
    </row>
    <row r="95" spans="1:6" ht="12.95" customHeight="1" x14ac:dyDescent="0.25">
      <c r="A95" s="68"/>
      <c r="B95" s="106" t="s">
        <v>1217</v>
      </c>
      <c r="C95" s="106">
        <v>20</v>
      </c>
      <c r="D95" s="106" t="s">
        <v>1230</v>
      </c>
      <c r="E95" s="195" t="s">
        <v>1231</v>
      </c>
      <c r="F95" s="90">
        <v>5.28</v>
      </c>
    </row>
    <row r="96" spans="1:6" ht="12.95" customHeight="1" x14ac:dyDescent="0.25">
      <c r="A96" s="68"/>
      <c r="B96" s="106" t="s">
        <v>1217</v>
      </c>
      <c r="C96" s="106">
        <v>20</v>
      </c>
      <c r="D96" s="106" t="s">
        <v>1245</v>
      </c>
      <c r="E96" s="151" t="s">
        <v>1246</v>
      </c>
      <c r="F96" s="90">
        <v>1.28</v>
      </c>
    </row>
    <row r="97" spans="1:6" ht="12.95" customHeight="1" x14ac:dyDescent="0.25">
      <c r="A97" s="68"/>
      <c r="B97" s="87" t="s">
        <v>898</v>
      </c>
      <c r="C97" s="95">
        <v>20</v>
      </c>
      <c r="D97" s="14" t="s">
        <v>278</v>
      </c>
      <c r="E97" s="88" t="s">
        <v>901</v>
      </c>
      <c r="F97" s="75">
        <v>10.4</v>
      </c>
    </row>
    <row r="98" spans="1:6" x14ac:dyDescent="0.25">
      <c r="A98" s="68"/>
      <c r="B98" s="87" t="s">
        <v>898</v>
      </c>
      <c r="C98" s="196">
        <v>20</v>
      </c>
      <c r="D98" s="215" t="s">
        <v>240</v>
      </c>
      <c r="E98" s="81" t="s">
        <v>901</v>
      </c>
      <c r="F98" s="196">
        <v>2.83</v>
      </c>
    </row>
    <row r="99" spans="1:6" ht="12.95" customHeight="1" x14ac:dyDescent="0.25">
      <c r="A99" s="68"/>
      <c r="B99" s="87" t="s">
        <v>898</v>
      </c>
      <c r="C99" s="196">
        <v>20</v>
      </c>
      <c r="D99" s="65" t="s">
        <v>238</v>
      </c>
      <c r="E99" s="88" t="s">
        <v>901</v>
      </c>
      <c r="F99" s="196">
        <v>4.3600000000000003</v>
      </c>
    </row>
    <row r="100" spans="1:6" ht="12.75" customHeight="1" x14ac:dyDescent="0.25">
      <c r="A100" s="68"/>
      <c r="B100" s="87" t="s">
        <v>898</v>
      </c>
      <c r="C100" s="95">
        <v>20</v>
      </c>
      <c r="D100" s="14" t="s">
        <v>659</v>
      </c>
      <c r="E100" s="197" t="s">
        <v>908</v>
      </c>
      <c r="F100" s="75">
        <v>2.38</v>
      </c>
    </row>
    <row r="101" spans="1:6" ht="12.75" customHeight="1" x14ac:dyDescent="0.25">
      <c r="A101" s="68"/>
      <c r="B101" s="106" t="s">
        <v>898</v>
      </c>
      <c r="C101" s="106">
        <v>20</v>
      </c>
      <c r="D101" s="106" t="s">
        <v>1216</v>
      </c>
      <c r="E101" s="195" t="s">
        <v>1089</v>
      </c>
      <c r="F101" s="90">
        <v>5.34</v>
      </c>
    </row>
    <row r="102" spans="1:6" s="68" customFormat="1" ht="12.75" customHeight="1" x14ac:dyDescent="0.25">
      <c r="B102" s="87" t="s">
        <v>898</v>
      </c>
      <c r="C102" s="95">
        <v>20</v>
      </c>
      <c r="D102" s="14" t="s">
        <v>239</v>
      </c>
      <c r="E102" s="88" t="s">
        <v>901</v>
      </c>
      <c r="F102" s="75">
        <v>9.0299999999999994</v>
      </c>
    </row>
    <row r="103" spans="1:6" s="68" customFormat="1" ht="12.75" customHeight="1" x14ac:dyDescent="0.25">
      <c r="B103" s="106" t="s">
        <v>898</v>
      </c>
      <c r="C103" s="106">
        <v>25</v>
      </c>
      <c r="D103" s="106">
        <v>8</v>
      </c>
      <c r="E103" s="87" t="s">
        <v>1254</v>
      </c>
      <c r="F103" s="90">
        <v>3.09</v>
      </c>
    </row>
    <row r="104" spans="1:6" ht="12.95" customHeight="1" x14ac:dyDescent="0.25">
      <c r="A104" s="68"/>
      <c r="B104" s="106" t="s">
        <v>1217</v>
      </c>
      <c r="C104" s="106">
        <v>25</v>
      </c>
      <c r="D104" s="106">
        <v>170</v>
      </c>
      <c r="E104" s="195" t="s">
        <v>1257</v>
      </c>
      <c r="F104" s="90">
        <v>0.95</v>
      </c>
    </row>
    <row r="105" spans="1:6" ht="12.75" customHeight="1" x14ac:dyDescent="0.25">
      <c r="A105" s="68"/>
      <c r="B105" s="106" t="s">
        <v>1217</v>
      </c>
      <c r="C105" s="106">
        <v>25</v>
      </c>
      <c r="D105" s="106">
        <v>170</v>
      </c>
      <c r="E105" s="195" t="s">
        <v>1258</v>
      </c>
      <c r="F105" s="90">
        <v>1.8</v>
      </c>
    </row>
    <row r="106" spans="1:6" ht="12.75" customHeight="1" x14ac:dyDescent="0.25">
      <c r="A106" s="68"/>
      <c r="B106" s="87" t="s">
        <v>898</v>
      </c>
      <c r="C106" s="95">
        <v>25</v>
      </c>
      <c r="D106" s="14" t="s">
        <v>242</v>
      </c>
      <c r="E106" s="88" t="s">
        <v>901</v>
      </c>
      <c r="F106" s="75">
        <v>8.52</v>
      </c>
    </row>
    <row r="107" spans="1:6" s="68" customFormat="1" ht="12.75" customHeight="1" x14ac:dyDescent="0.25">
      <c r="B107" s="106" t="s">
        <v>1217</v>
      </c>
      <c r="C107" s="106">
        <v>25</v>
      </c>
      <c r="D107" s="112" t="s">
        <v>1255</v>
      </c>
      <c r="E107" s="195" t="s">
        <v>1256</v>
      </c>
      <c r="F107" s="90">
        <v>1.8</v>
      </c>
    </row>
    <row r="108" spans="1:6" ht="12.95" customHeight="1" x14ac:dyDescent="0.25">
      <c r="A108" s="68"/>
      <c r="B108" s="106" t="s">
        <v>1217</v>
      </c>
      <c r="C108" s="106">
        <v>30</v>
      </c>
      <c r="D108" s="106">
        <v>110</v>
      </c>
      <c r="E108" s="151" t="s">
        <v>1259</v>
      </c>
      <c r="F108" s="90">
        <v>1.05</v>
      </c>
    </row>
    <row r="109" spans="1:6" x14ac:dyDescent="0.25">
      <c r="A109" s="68"/>
      <c r="B109" s="106" t="s">
        <v>1217</v>
      </c>
      <c r="C109" s="106">
        <v>30</v>
      </c>
      <c r="D109" s="106">
        <v>125</v>
      </c>
      <c r="E109" s="195" t="s">
        <v>1260</v>
      </c>
      <c r="F109" s="90">
        <v>7.0000000000000007E-2</v>
      </c>
    </row>
    <row r="110" spans="1:6" customFormat="1" ht="15" customHeight="1" x14ac:dyDescent="0.25">
      <c r="A110" s="66"/>
      <c r="B110" s="106" t="s">
        <v>1217</v>
      </c>
      <c r="C110" s="106">
        <v>30</v>
      </c>
      <c r="D110" s="106">
        <v>170</v>
      </c>
      <c r="E110" s="195" t="s">
        <v>1261</v>
      </c>
      <c r="F110" s="90">
        <v>0.73</v>
      </c>
    </row>
    <row r="111" spans="1:6" s="66" customFormat="1" ht="15" customHeight="1" x14ac:dyDescent="0.25">
      <c r="B111" s="106" t="s">
        <v>1217</v>
      </c>
      <c r="C111" s="106">
        <v>35</v>
      </c>
      <c r="D111" s="106">
        <v>95</v>
      </c>
      <c r="E111" s="195" t="s">
        <v>1262</v>
      </c>
      <c r="F111" s="90">
        <v>1.61</v>
      </c>
    </row>
    <row r="112" spans="1:6" customFormat="1" ht="15" x14ac:dyDescent="0.25">
      <c r="A112" s="66"/>
      <c r="B112" s="106" t="s">
        <v>1217</v>
      </c>
      <c r="C112" s="106">
        <v>35</v>
      </c>
      <c r="D112" s="106">
        <v>100</v>
      </c>
      <c r="E112" s="195" t="s">
        <v>1265</v>
      </c>
      <c r="F112" s="90">
        <v>1.49</v>
      </c>
    </row>
    <row r="113" spans="1:6" customFormat="1" ht="15" x14ac:dyDescent="0.25">
      <c r="A113" s="66"/>
      <c r="B113" s="106" t="s">
        <v>1217</v>
      </c>
      <c r="C113" s="106">
        <v>35</v>
      </c>
      <c r="D113" s="106">
        <v>110</v>
      </c>
      <c r="E113" s="151" t="s">
        <v>933</v>
      </c>
      <c r="F113" s="90">
        <v>4.05</v>
      </c>
    </row>
    <row r="114" spans="1:6" customFormat="1" ht="15" customHeight="1" x14ac:dyDescent="0.25">
      <c r="A114" s="66"/>
      <c r="B114" s="106" t="s">
        <v>1217</v>
      </c>
      <c r="C114" s="106">
        <v>35</v>
      </c>
      <c r="D114" s="106">
        <v>115</v>
      </c>
      <c r="E114" s="195" t="s">
        <v>1266</v>
      </c>
      <c r="F114" s="90">
        <v>7.29</v>
      </c>
    </row>
    <row r="115" spans="1:6" ht="12.75" customHeight="1" x14ac:dyDescent="0.25">
      <c r="A115" s="68"/>
      <c r="B115" s="106" t="s">
        <v>1217</v>
      </c>
      <c r="C115" s="106">
        <v>35</v>
      </c>
      <c r="D115" s="106">
        <v>170</v>
      </c>
      <c r="E115" s="64" t="s">
        <v>1267</v>
      </c>
      <c r="F115" s="90">
        <v>9.06</v>
      </c>
    </row>
    <row r="116" spans="1:6" ht="12.75" customHeight="1" x14ac:dyDescent="0.25">
      <c r="A116" s="68"/>
      <c r="B116" s="106" t="s">
        <v>1217</v>
      </c>
      <c r="C116" s="106">
        <v>35</v>
      </c>
      <c r="D116" s="106">
        <v>180</v>
      </c>
      <c r="E116" s="195" t="s">
        <v>1268</v>
      </c>
      <c r="F116" s="90">
        <v>1.45</v>
      </c>
    </row>
    <row r="117" spans="1:6" s="68" customFormat="1" ht="12.75" customHeight="1" x14ac:dyDescent="0.25">
      <c r="B117" s="106" t="s">
        <v>1217</v>
      </c>
      <c r="C117" s="106">
        <v>35</v>
      </c>
      <c r="D117" s="106">
        <v>180</v>
      </c>
      <c r="E117" s="64" t="s">
        <v>1269</v>
      </c>
      <c r="F117" s="90">
        <v>1.02</v>
      </c>
    </row>
    <row r="118" spans="1:6" s="68" customFormat="1" ht="12.75" customHeight="1" x14ac:dyDescent="0.25">
      <c r="B118" s="106" t="s">
        <v>1217</v>
      </c>
      <c r="C118" s="106">
        <v>35</v>
      </c>
      <c r="D118" s="106">
        <v>190</v>
      </c>
      <c r="E118" s="195" t="s">
        <v>1270</v>
      </c>
      <c r="F118" s="90">
        <v>5.04</v>
      </c>
    </row>
    <row r="119" spans="1:6" s="68" customFormat="1" ht="12.75" customHeight="1" thickBot="1" x14ac:dyDescent="0.3">
      <c r="B119" s="106" t="s">
        <v>1217</v>
      </c>
      <c r="C119" s="106">
        <v>35</v>
      </c>
      <c r="D119" s="112">
        <v>200</v>
      </c>
      <c r="E119" s="195" t="s">
        <v>1271</v>
      </c>
      <c r="F119" s="231">
        <v>0.95</v>
      </c>
    </row>
    <row r="120" spans="1:6" s="68" customFormat="1" ht="12.75" customHeight="1" x14ac:dyDescent="0.25">
      <c r="B120" s="106" t="s">
        <v>1217</v>
      </c>
      <c r="C120" s="106">
        <v>35</v>
      </c>
      <c r="D120" s="106">
        <v>220</v>
      </c>
      <c r="E120" s="195" t="s">
        <v>1272</v>
      </c>
      <c r="F120" s="90">
        <v>1.24</v>
      </c>
    </row>
    <row r="121" spans="1:6" ht="12.75" customHeight="1" x14ac:dyDescent="0.25">
      <c r="A121" s="68"/>
      <c r="B121" s="106" t="s">
        <v>898</v>
      </c>
      <c r="C121" s="106">
        <v>35</v>
      </c>
      <c r="D121" s="106" t="s">
        <v>1263</v>
      </c>
      <c r="E121" s="195" t="s">
        <v>1264</v>
      </c>
      <c r="F121" s="90">
        <v>5.21</v>
      </c>
    </row>
    <row r="122" spans="1:6" ht="12.75" customHeight="1" x14ac:dyDescent="0.25">
      <c r="A122" s="68"/>
      <c r="B122" s="106" t="s">
        <v>898</v>
      </c>
      <c r="C122" s="106">
        <v>35</v>
      </c>
      <c r="D122" s="106" t="s">
        <v>1273</v>
      </c>
      <c r="E122" s="64" t="s">
        <v>1274</v>
      </c>
      <c r="F122" s="90">
        <v>1.27</v>
      </c>
    </row>
    <row r="123" spans="1:6" ht="12.75" customHeight="1" x14ac:dyDescent="0.25">
      <c r="A123" s="68"/>
      <c r="B123" s="106" t="s">
        <v>898</v>
      </c>
      <c r="C123" s="106">
        <v>35</v>
      </c>
      <c r="D123" s="106" t="s">
        <v>1273</v>
      </c>
      <c r="E123" s="64" t="s">
        <v>1275</v>
      </c>
      <c r="F123" s="90">
        <v>1.3</v>
      </c>
    </row>
    <row r="124" spans="1:6" ht="12.75" customHeight="1" x14ac:dyDescent="0.25">
      <c r="A124" s="68"/>
      <c r="B124" s="106" t="s">
        <v>898</v>
      </c>
      <c r="C124" s="106">
        <v>40</v>
      </c>
      <c r="D124" s="106">
        <v>14</v>
      </c>
      <c r="E124" s="195" t="s">
        <v>1276</v>
      </c>
      <c r="F124" s="90">
        <v>1.62</v>
      </c>
    </row>
    <row r="125" spans="1:6" s="68" customFormat="1" ht="12.75" customHeight="1" x14ac:dyDescent="0.25">
      <c r="B125" s="106" t="s">
        <v>1217</v>
      </c>
      <c r="C125" s="106">
        <v>40</v>
      </c>
      <c r="D125" s="106">
        <v>170</v>
      </c>
      <c r="E125" s="195" t="s">
        <v>1277</v>
      </c>
      <c r="F125" s="90">
        <v>1.03</v>
      </c>
    </row>
    <row r="126" spans="1:6" s="68" customFormat="1" ht="12.75" customHeight="1" x14ac:dyDescent="0.25">
      <c r="B126" s="106" t="s">
        <v>1217</v>
      </c>
      <c r="C126" s="106">
        <v>40</v>
      </c>
      <c r="D126" s="106">
        <v>180</v>
      </c>
      <c r="E126" s="195" t="s">
        <v>1278</v>
      </c>
      <c r="F126" s="90">
        <v>1.21</v>
      </c>
    </row>
    <row r="127" spans="1:6" s="68" customFormat="1" ht="12.75" customHeight="1" x14ac:dyDescent="0.2">
      <c r="B127" s="134" t="s">
        <v>898</v>
      </c>
      <c r="C127" s="30">
        <v>45</v>
      </c>
      <c r="D127" s="30">
        <v>3</v>
      </c>
      <c r="E127" s="197" t="s">
        <v>1086</v>
      </c>
      <c r="F127" s="133">
        <v>3.6999999999999998E-2</v>
      </c>
    </row>
    <row r="128" spans="1:6" s="68" customFormat="1" ht="12.75" customHeight="1" x14ac:dyDescent="0.2">
      <c r="B128" s="134" t="s">
        <v>898</v>
      </c>
      <c r="C128" s="30">
        <v>45</v>
      </c>
      <c r="D128" s="30">
        <v>4</v>
      </c>
      <c r="E128" s="197" t="s">
        <v>911</v>
      </c>
      <c r="F128" s="133">
        <v>9.8000000000000004E-2</v>
      </c>
    </row>
    <row r="129" spans="1:6" ht="12.75" customHeight="1" x14ac:dyDescent="0.25">
      <c r="A129" s="68"/>
      <c r="B129" s="112" t="s">
        <v>898</v>
      </c>
      <c r="C129" s="112">
        <v>45</v>
      </c>
      <c r="D129" s="112">
        <v>6</v>
      </c>
      <c r="E129" s="51" t="s">
        <v>1075</v>
      </c>
      <c r="F129" s="34">
        <v>0.31200000000000006</v>
      </c>
    </row>
    <row r="130" spans="1:6" ht="12.75" customHeight="1" x14ac:dyDescent="0.2">
      <c r="A130" s="68"/>
      <c r="B130" s="134" t="s">
        <v>898</v>
      </c>
      <c r="C130" s="30">
        <v>45</v>
      </c>
      <c r="D130" s="30">
        <v>10</v>
      </c>
      <c r="E130" s="197" t="s">
        <v>1087</v>
      </c>
      <c r="F130" s="133">
        <v>1.2E-2</v>
      </c>
    </row>
    <row r="131" spans="1:6" s="68" customFormat="1" ht="12.75" customHeight="1" x14ac:dyDescent="0.25">
      <c r="B131" s="106" t="s">
        <v>898</v>
      </c>
      <c r="C131" s="106">
        <v>45</v>
      </c>
      <c r="D131" s="106">
        <v>12</v>
      </c>
      <c r="E131" s="87" t="s">
        <v>1279</v>
      </c>
      <c r="F131" s="90">
        <v>0.27</v>
      </c>
    </row>
    <row r="132" spans="1:6" ht="12.75" customHeight="1" x14ac:dyDescent="0.25">
      <c r="A132" s="68"/>
      <c r="B132" s="106" t="s">
        <v>898</v>
      </c>
      <c r="C132" s="106">
        <v>45</v>
      </c>
      <c r="D132" s="106">
        <v>20</v>
      </c>
      <c r="E132" s="195" t="s">
        <v>1280</v>
      </c>
      <c r="F132" s="90">
        <v>1.79</v>
      </c>
    </row>
    <row r="133" spans="1:6" ht="12.75" customHeight="1" x14ac:dyDescent="0.25">
      <c r="A133" s="68"/>
      <c r="B133" s="106" t="s">
        <v>898</v>
      </c>
      <c r="C133" s="106">
        <v>45</v>
      </c>
      <c r="D133" s="106">
        <v>30</v>
      </c>
      <c r="E133" s="195" t="s">
        <v>929</v>
      </c>
      <c r="F133" s="90">
        <v>1.44</v>
      </c>
    </row>
    <row r="134" spans="1:6" ht="12.75" customHeight="1" x14ac:dyDescent="0.25">
      <c r="A134" s="68"/>
      <c r="B134" s="106" t="s">
        <v>898</v>
      </c>
      <c r="C134" s="106">
        <v>45</v>
      </c>
      <c r="D134" s="106">
        <v>30</v>
      </c>
      <c r="E134" s="195" t="s">
        <v>1281</v>
      </c>
      <c r="F134" s="90">
        <v>1.1000000000000001</v>
      </c>
    </row>
    <row r="135" spans="1:6" ht="12.75" customHeight="1" x14ac:dyDescent="0.25">
      <c r="A135" s="68"/>
      <c r="B135" s="106" t="s">
        <v>898</v>
      </c>
      <c r="C135" s="106">
        <v>45</v>
      </c>
      <c r="D135" s="106">
        <v>35</v>
      </c>
      <c r="E135" s="195" t="s">
        <v>1282</v>
      </c>
      <c r="F135" s="90">
        <v>5.09</v>
      </c>
    </row>
    <row r="136" spans="1:6" ht="12.75" customHeight="1" x14ac:dyDescent="0.25">
      <c r="A136" s="68"/>
      <c r="B136" s="106" t="s">
        <v>898</v>
      </c>
      <c r="C136" s="106">
        <v>45</v>
      </c>
      <c r="D136" s="106">
        <v>40</v>
      </c>
      <c r="E136" s="64" t="s">
        <v>1283</v>
      </c>
      <c r="F136" s="90">
        <v>2.54</v>
      </c>
    </row>
    <row r="137" spans="1:6" x14ac:dyDescent="0.2">
      <c r="A137" s="68"/>
      <c r="B137" s="134" t="s">
        <v>898</v>
      </c>
      <c r="C137" s="30">
        <v>45</v>
      </c>
      <c r="D137" s="94">
        <v>45</v>
      </c>
      <c r="E137" s="197" t="s">
        <v>912</v>
      </c>
      <c r="F137" s="133">
        <v>4.1500000000000004</v>
      </c>
    </row>
    <row r="138" spans="1:6" x14ac:dyDescent="0.25">
      <c r="A138" s="68"/>
      <c r="B138" s="106" t="s">
        <v>898</v>
      </c>
      <c r="C138" s="106">
        <v>45</v>
      </c>
      <c r="D138" s="106">
        <v>50</v>
      </c>
      <c r="E138" s="195" t="s">
        <v>1284</v>
      </c>
      <c r="F138" s="90">
        <v>1.35</v>
      </c>
    </row>
    <row r="139" spans="1:6" x14ac:dyDescent="0.25">
      <c r="A139" s="68"/>
      <c r="B139" s="106" t="s">
        <v>898</v>
      </c>
      <c r="C139" s="112">
        <v>45</v>
      </c>
      <c r="D139" s="112">
        <v>50</v>
      </c>
      <c r="E139" s="63" t="s">
        <v>1498</v>
      </c>
      <c r="F139" s="194">
        <v>1.64</v>
      </c>
    </row>
    <row r="140" spans="1:6" x14ac:dyDescent="0.25">
      <c r="A140" s="68"/>
      <c r="B140" s="106" t="s">
        <v>898</v>
      </c>
      <c r="C140" s="106">
        <v>45</v>
      </c>
      <c r="D140" s="106">
        <v>60</v>
      </c>
      <c r="E140" s="87" t="s">
        <v>1285</v>
      </c>
      <c r="F140" s="90">
        <v>4.53</v>
      </c>
    </row>
    <row r="141" spans="1:6" x14ac:dyDescent="0.25">
      <c r="A141" s="68"/>
      <c r="B141" s="106" t="s">
        <v>898</v>
      </c>
      <c r="C141" s="106">
        <v>45</v>
      </c>
      <c r="D141" s="106">
        <v>60</v>
      </c>
      <c r="E141" s="87" t="s">
        <v>1286</v>
      </c>
      <c r="F141" s="90">
        <v>6.28</v>
      </c>
    </row>
    <row r="142" spans="1:6" x14ac:dyDescent="0.25">
      <c r="A142" s="68"/>
      <c r="B142" s="106" t="s">
        <v>898</v>
      </c>
      <c r="C142" s="112">
        <v>45</v>
      </c>
      <c r="D142" s="112">
        <v>70</v>
      </c>
      <c r="E142" s="63" t="s">
        <v>1287</v>
      </c>
      <c r="F142" s="194">
        <v>5.2</v>
      </c>
    </row>
    <row r="143" spans="1:6" x14ac:dyDescent="0.25">
      <c r="B143" s="145" t="s">
        <v>898</v>
      </c>
      <c r="C143" s="214">
        <v>45</v>
      </c>
      <c r="D143" s="214">
        <v>70</v>
      </c>
      <c r="E143" s="227" t="s">
        <v>1288</v>
      </c>
      <c r="F143" s="232">
        <v>3.14</v>
      </c>
    </row>
    <row r="144" spans="1:6" x14ac:dyDescent="0.25">
      <c r="B144" s="106" t="s">
        <v>898</v>
      </c>
      <c r="C144" s="112">
        <v>45</v>
      </c>
      <c r="D144" s="112">
        <v>70</v>
      </c>
      <c r="E144" s="63" t="s">
        <v>1289</v>
      </c>
      <c r="F144" s="194">
        <v>1.9</v>
      </c>
    </row>
    <row r="145" spans="2:6" x14ac:dyDescent="0.25">
      <c r="B145" s="135" t="s">
        <v>898</v>
      </c>
      <c r="C145" s="135">
        <v>45</v>
      </c>
      <c r="D145" s="135">
        <v>80</v>
      </c>
      <c r="E145" s="226">
        <v>600</v>
      </c>
      <c r="F145" s="136">
        <v>0.41700000000000004</v>
      </c>
    </row>
    <row r="146" spans="2:6" x14ac:dyDescent="0.25">
      <c r="B146" s="106" t="s">
        <v>1217</v>
      </c>
      <c r="C146" s="106">
        <v>45</v>
      </c>
      <c r="D146" s="106">
        <v>85</v>
      </c>
      <c r="E146" s="195" t="s">
        <v>1290</v>
      </c>
      <c r="F146" s="90">
        <v>0.51</v>
      </c>
    </row>
    <row r="147" spans="2:6" x14ac:dyDescent="0.25">
      <c r="B147" s="106" t="s">
        <v>898</v>
      </c>
      <c r="C147" s="106">
        <v>45</v>
      </c>
      <c r="D147" s="106">
        <v>90</v>
      </c>
      <c r="E147" s="195" t="s">
        <v>1291</v>
      </c>
      <c r="F147" s="90">
        <v>0.24</v>
      </c>
    </row>
    <row r="148" spans="2:6" x14ac:dyDescent="0.25">
      <c r="B148" s="106" t="s">
        <v>1217</v>
      </c>
      <c r="C148" s="106">
        <v>45</v>
      </c>
      <c r="D148" s="106">
        <v>90</v>
      </c>
      <c r="E148" s="195" t="s">
        <v>1292</v>
      </c>
      <c r="F148" s="90">
        <v>5.72</v>
      </c>
    </row>
    <row r="149" spans="2:6" x14ac:dyDescent="0.25">
      <c r="B149" s="145" t="s">
        <v>1217</v>
      </c>
      <c r="C149" s="145">
        <v>45</v>
      </c>
      <c r="D149" s="145">
        <v>90</v>
      </c>
      <c r="E149" s="117" t="s">
        <v>1293</v>
      </c>
      <c r="F149" s="115">
        <v>4.3899999999999997</v>
      </c>
    </row>
    <row r="150" spans="2:6" x14ac:dyDescent="0.25">
      <c r="B150" s="106" t="s">
        <v>1217</v>
      </c>
      <c r="C150" s="106">
        <v>45</v>
      </c>
      <c r="D150" s="106">
        <v>90</v>
      </c>
      <c r="E150" s="195" t="s">
        <v>1294</v>
      </c>
      <c r="F150" s="90">
        <v>4.1399999999999997</v>
      </c>
    </row>
    <row r="151" spans="2:6" x14ac:dyDescent="0.25">
      <c r="B151" s="144" t="s">
        <v>1217</v>
      </c>
      <c r="C151" s="144">
        <v>45</v>
      </c>
      <c r="D151" s="144">
        <v>90</v>
      </c>
      <c r="E151" s="152" t="s">
        <v>1295</v>
      </c>
      <c r="F151" s="138">
        <v>0.93</v>
      </c>
    </row>
    <row r="152" spans="2:6" x14ac:dyDescent="0.25">
      <c r="B152" s="106" t="s">
        <v>1217</v>
      </c>
      <c r="C152" s="106">
        <v>45</v>
      </c>
      <c r="D152" s="106">
        <v>90</v>
      </c>
      <c r="E152" s="64" t="s">
        <v>1296</v>
      </c>
      <c r="F152" s="90">
        <v>1.82</v>
      </c>
    </row>
    <row r="153" spans="2:6" x14ac:dyDescent="0.25">
      <c r="B153" s="106" t="s">
        <v>898</v>
      </c>
      <c r="C153" s="106">
        <v>45</v>
      </c>
      <c r="D153" s="106">
        <v>100</v>
      </c>
      <c r="E153" s="64" t="s">
        <v>1297</v>
      </c>
      <c r="F153" s="90">
        <v>2.7</v>
      </c>
    </row>
    <row r="154" spans="2:6" x14ac:dyDescent="0.25">
      <c r="B154" s="106" t="s">
        <v>898</v>
      </c>
      <c r="C154" s="106">
        <v>45</v>
      </c>
      <c r="D154" s="106">
        <v>100</v>
      </c>
      <c r="E154" s="64" t="s">
        <v>1298</v>
      </c>
      <c r="F154" s="90">
        <v>5.16</v>
      </c>
    </row>
    <row r="155" spans="2:6" x14ac:dyDescent="0.25">
      <c r="B155" s="106" t="s">
        <v>898</v>
      </c>
      <c r="C155" s="106">
        <v>45</v>
      </c>
      <c r="D155" s="106">
        <v>100</v>
      </c>
      <c r="E155" s="195" t="s">
        <v>1299</v>
      </c>
      <c r="F155" s="90">
        <v>8.2799999999999994</v>
      </c>
    </row>
    <row r="156" spans="2:6" x14ac:dyDescent="0.25">
      <c r="B156" s="106" t="s">
        <v>1217</v>
      </c>
      <c r="C156" s="106">
        <v>45</v>
      </c>
      <c r="D156" s="106">
        <v>100</v>
      </c>
      <c r="E156" s="64" t="s">
        <v>1300</v>
      </c>
      <c r="F156" s="90">
        <v>3</v>
      </c>
    </row>
    <row r="157" spans="2:6" x14ac:dyDescent="0.25">
      <c r="B157" s="106" t="s">
        <v>1217</v>
      </c>
      <c r="C157" s="106">
        <v>45</v>
      </c>
      <c r="D157" s="106">
        <v>100</v>
      </c>
      <c r="E157" s="64" t="s">
        <v>1301</v>
      </c>
      <c r="F157" s="90">
        <v>1.35</v>
      </c>
    </row>
    <row r="158" spans="2:6" x14ac:dyDescent="0.25">
      <c r="B158" s="106" t="s">
        <v>1217</v>
      </c>
      <c r="C158" s="106">
        <v>45</v>
      </c>
      <c r="D158" s="106">
        <v>100</v>
      </c>
      <c r="E158" s="195" t="s">
        <v>1302</v>
      </c>
      <c r="F158" s="90">
        <v>2.04</v>
      </c>
    </row>
    <row r="159" spans="2:6" x14ac:dyDescent="0.25">
      <c r="B159" s="106" t="s">
        <v>1217</v>
      </c>
      <c r="C159" s="106">
        <v>45</v>
      </c>
      <c r="D159" s="106">
        <v>100</v>
      </c>
      <c r="E159" s="195" t="s">
        <v>1303</v>
      </c>
      <c r="F159" s="90">
        <v>1.06</v>
      </c>
    </row>
    <row r="160" spans="2:6" x14ac:dyDescent="0.25">
      <c r="B160" s="106" t="s">
        <v>1217</v>
      </c>
      <c r="C160" s="106">
        <v>45</v>
      </c>
      <c r="D160" s="106">
        <v>100</v>
      </c>
      <c r="E160" s="195" t="s">
        <v>1304</v>
      </c>
      <c r="F160" s="90">
        <v>2.36</v>
      </c>
    </row>
    <row r="161" spans="2:6" x14ac:dyDescent="0.25">
      <c r="B161" s="106" t="s">
        <v>1217</v>
      </c>
      <c r="C161" s="106">
        <v>45</v>
      </c>
      <c r="D161" s="106">
        <v>100</v>
      </c>
      <c r="E161" s="64" t="s">
        <v>1305</v>
      </c>
      <c r="F161" s="90">
        <v>2.57</v>
      </c>
    </row>
    <row r="162" spans="2:6" x14ac:dyDescent="0.25">
      <c r="B162" s="144" t="s">
        <v>1217</v>
      </c>
      <c r="C162" s="144">
        <v>45</v>
      </c>
      <c r="D162" s="144">
        <v>100</v>
      </c>
      <c r="E162" s="152" t="s">
        <v>1306</v>
      </c>
      <c r="F162" s="138">
        <v>2.66</v>
      </c>
    </row>
    <row r="163" spans="2:6" x14ac:dyDescent="0.25">
      <c r="B163" s="144" t="s">
        <v>1217</v>
      </c>
      <c r="C163" s="144">
        <v>45</v>
      </c>
      <c r="D163" s="144">
        <v>100</v>
      </c>
      <c r="E163" s="152" t="s">
        <v>1307</v>
      </c>
      <c r="F163" s="138">
        <v>3.9</v>
      </c>
    </row>
    <row r="164" spans="2:6" x14ac:dyDescent="0.25">
      <c r="B164" s="106" t="s">
        <v>1217</v>
      </c>
      <c r="C164" s="106">
        <v>45</v>
      </c>
      <c r="D164" s="106">
        <v>100</v>
      </c>
      <c r="E164" s="195" t="s">
        <v>1308</v>
      </c>
      <c r="F164" s="90">
        <v>2.1800000000000002</v>
      </c>
    </row>
    <row r="165" spans="2:6" x14ac:dyDescent="0.25">
      <c r="B165" s="106" t="s">
        <v>1217</v>
      </c>
      <c r="C165" s="106">
        <v>45</v>
      </c>
      <c r="D165" s="106">
        <v>100</v>
      </c>
      <c r="E165" s="195" t="s">
        <v>1309</v>
      </c>
      <c r="F165" s="90">
        <v>2.4700000000000002</v>
      </c>
    </row>
    <row r="166" spans="2:6" x14ac:dyDescent="0.25">
      <c r="B166" s="106" t="s">
        <v>898</v>
      </c>
      <c r="C166" s="106">
        <v>45</v>
      </c>
      <c r="D166" s="106">
        <v>105</v>
      </c>
      <c r="E166" s="64" t="s">
        <v>1312</v>
      </c>
      <c r="F166" s="90">
        <v>2.9599999999999995</v>
      </c>
    </row>
    <row r="167" spans="2:6" x14ac:dyDescent="0.25">
      <c r="B167" s="106" t="s">
        <v>1217</v>
      </c>
      <c r="C167" s="106">
        <v>45</v>
      </c>
      <c r="D167" s="106">
        <v>105</v>
      </c>
      <c r="E167" s="195" t="s">
        <v>1315</v>
      </c>
      <c r="F167" s="90">
        <v>3.28</v>
      </c>
    </row>
    <row r="168" spans="2:6" x14ac:dyDescent="0.25">
      <c r="B168" s="106" t="s">
        <v>1217</v>
      </c>
      <c r="C168" s="106">
        <v>45</v>
      </c>
      <c r="D168" s="106">
        <v>105</v>
      </c>
      <c r="E168" s="64" t="s">
        <v>1316</v>
      </c>
      <c r="F168" s="90">
        <v>1.0900000000000001</v>
      </c>
    </row>
    <row r="169" spans="2:6" x14ac:dyDescent="0.25">
      <c r="B169" s="106" t="s">
        <v>1217</v>
      </c>
      <c r="C169" s="106">
        <v>45</v>
      </c>
      <c r="D169" s="106">
        <v>110</v>
      </c>
      <c r="E169" s="151" t="s">
        <v>1317</v>
      </c>
      <c r="F169" s="90">
        <v>1.95</v>
      </c>
    </row>
    <row r="170" spans="2:6" x14ac:dyDescent="0.25">
      <c r="B170" s="106" t="s">
        <v>1217</v>
      </c>
      <c r="C170" s="106">
        <v>45</v>
      </c>
      <c r="D170" s="106">
        <v>110</v>
      </c>
      <c r="E170" s="151" t="s">
        <v>1318</v>
      </c>
      <c r="F170" s="90">
        <v>3</v>
      </c>
    </row>
    <row r="171" spans="2:6" x14ac:dyDescent="0.25">
      <c r="B171" s="106" t="s">
        <v>1217</v>
      </c>
      <c r="C171" s="106">
        <v>45</v>
      </c>
      <c r="D171" s="106">
        <v>110</v>
      </c>
      <c r="E171" s="195" t="s">
        <v>1319</v>
      </c>
      <c r="F171" s="90">
        <v>3.73</v>
      </c>
    </row>
    <row r="172" spans="2:6" x14ac:dyDescent="0.25">
      <c r="B172" s="106" t="s">
        <v>1217</v>
      </c>
      <c r="C172" s="106">
        <v>45</v>
      </c>
      <c r="D172" s="106">
        <v>110</v>
      </c>
      <c r="E172" s="151" t="s">
        <v>1320</v>
      </c>
      <c r="F172" s="90">
        <v>0.25</v>
      </c>
    </row>
    <row r="173" spans="2:6" x14ac:dyDescent="0.25">
      <c r="B173" s="106" t="s">
        <v>1217</v>
      </c>
      <c r="C173" s="106">
        <v>45</v>
      </c>
      <c r="D173" s="106">
        <v>110</v>
      </c>
      <c r="E173" s="151" t="s">
        <v>1321</v>
      </c>
      <c r="F173" s="90">
        <v>0.1</v>
      </c>
    </row>
    <row r="174" spans="2:6" x14ac:dyDescent="0.25">
      <c r="B174" s="106" t="s">
        <v>1217</v>
      </c>
      <c r="C174" s="106">
        <v>45</v>
      </c>
      <c r="D174" s="106">
        <v>110</v>
      </c>
      <c r="E174" s="151" t="s">
        <v>1322</v>
      </c>
      <c r="F174" s="90">
        <v>0.21</v>
      </c>
    </row>
    <row r="175" spans="2:6" x14ac:dyDescent="0.25">
      <c r="B175" s="106" t="s">
        <v>898</v>
      </c>
      <c r="C175" s="112">
        <v>45</v>
      </c>
      <c r="D175" s="106">
        <v>120</v>
      </c>
      <c r="E175" s="63" t="s">
        <v>1323</v>
      </c>
      <c r="F175" s="194">
        <v>13.3</v>
      </c>
    </row>
    <row r="176" spans="2:6" x14ac:dyDescent="0.25">
      <c r="B176" s="106" t="s">
        <v>898</v>
      </c>
      <c r="C176" s="112">
        <v>45</v>
      </c>
      <c r="D176" s="106">
        <v>120</v>
      </c>
      <c r="E176" s="63" t="s">
        <v>1324</v>
      </c>
      <c r="F176" s="194">
        <v>0.53</v>
      </c>
    </row>
    <row r="177" spans="2:6" x14ac:dyDescent="0.25">
      <c r="B177" s="106" t="s">
        <v>898</v>
      </c>
      <c r="C177" s="106">
        <v>45</v>
      </c>
      <c r="D177" s="106">
        <v>120</v>
      </c>
      <c r="E177" s="195" t="s">
        <v>1325</v>
      </c>
      <c r="F177" s="90">
        <v>3.9800000000000004</v>
      </c>
    </row>
    <row r="178" spans="2:6" x14ac:dyDescent="0.25">
      <c r="B178" s="106" t="s">
        <v>898</v>
      </c>
      <c r="C178" s="106">
        <v>45</v>
      </c>
      <c r="D178" s="106">
        <v>120</v>
      </c>
      <c r="E178" s="195" t="s">
        <v>1326</v>
      </c>
      <c r="F178" s="90">
        <v>7.46</v>
      </c>
    </row>
    <row r="179" spans="2:6" x14ac:dyDescent="0.25">
      <c r="B179" s="106" t="s">
        <v>1217</v>
      </c>
      <c r="C179" s="106">
        <v>45</v>
      </c>
      <c r="D179" s="106">
        <v>120</v>
      </c>
      <c r="E179" s="64" t="s">
        <v>1327</v>
      </c>
      <c r="F179" s="90">
        <v>3.2</v>
      </c>
    </row>
    <row r="180" spans="2:6" x14ac:dyDescent="0.25">
      <c r="B180" s="106" t="s">
        <v>1217</v>
      </c>
      <c r="C180" s="106">
        <v>45</v>
      </c>
      <c r="D180" s="106">
        <v>120</v>
      </c>
      <c r="E180" s="195" t="s">
        <v>1330</v>
      </c>
      <c r="F180" s="90">
        <v>4.01</v>
      </c>
    </row>
    <row r="181" spans="2:6" x14ac:dyDescent="0.25">
      <c r="B181" s="106" t="s">
        <v>1217</v>
      </c>
      <c r="C181" s="106">
        <v>45</v>
      </c>
      <c r="D181" s="106">
        <v>120</v>
      </c>
      <c r="E181" s="195" t="s">
        <v>1331</v>
      </c>
      <c r="F181" s="90">
        <v>0.65</v>
      </c>
    </row>
    <row r="182" spans="2:6" x14ac:dyDescent="0.25">
      <c r="B182" s="106" t="s">
        <v>1217</v>
      </c>
      <c r="C182" s="106">
        <v>45</v>
      </c>
      <c r="D182" s="106">
        <v>120</v>
      </c>
      <c r="E182" s="64" t="s">
        <v>1332</v>
      </c>
      <c r="F182" s="90">
        <v>4.25</v>
      </c>
    </row>
    <row r="183" spans="2:6" x14ac:dyDescent="0.25">
      <c r="B183" s="106" t="s">
        <v>1217</v>
      </c>
      <c r="C183" s="106">
        <v>45</v>
      </c>
      <c r="D183" s="106">
        <v>120</v>
      </c>
      <c r="E183" s="195" t="s">
        <v>1333</v>
      </c>
      <c r="F183" s="90">
        <v>6.3</v>
      </c>
    </row>
    <row r="184" spans="2:6" x14ac:dyDescent="0.25">
      <c r="B184" s="106" t="s">
        <v>1217</v>
      </c>
      <c r="C184" s="106">
        <v>45</v>
      </c>
      <c r="D184" s="106">
        <v>130</v>
      </c>
      <c r="E184" s="64" t="s">
        <v>1336</v>
      </c>
      <c r="F184" s="90">
        <v>0.75</v>
      </c>
    </row>
    <row r="185" spans="2:6" x14ac:dyDescent="0.25">
      <c r="B185" s="106" t="s">
        <v>1217</v>
      </c>
      <c r="C185" s="106">
        <v>45</v>
      </c>
      <c r="D185" s="106">
        <v>130</v>
      </c>
      <c r="E185" s="64" t="s">
        <v>1337</v>
      </c>
      <c r="F185" s="90">
        <v>3.5</v>
      </c>
    </row>
    <row r="186" spans="2:6" x14ac:dyDescent="0.25">
      <c r="B186" s="106" t="s">
        <v>1217</v>
      </c>
      <c r="C186" s="106">
        <v>45</v>
      </c>
      <c r="D186" s="106">
        <v>130</v>
      </c>
      <c r="E186" s="64" t="s">
        <v>1338</v>
      </c>
      <c r="F186" s="90">
        <v>5.0599999999999996</v>
      </c>
    </row>
    <row r="187" spans="2:6" x14ac:dyDescent="0.25">
      <c r="B187" s="106" t="s">
        <v>1217</v>
      </c>
      <c r="C187" s="106">
        <v>45</v>
      </c>
      <c r="D187" s="106">
        <v>140</v>
      </c>
      <c r="E187" s="195" t="s">
        <v>1339</v>
      </c>
      <c r="F187" s="90">
        <v>5.08</v>
      </c>
    </row>
    <row r="188" spans="2:6" x14ac:dyDescent="0.25">
      <c r="B188" s="106" t="s">
        <v>1217</v>
      </c>
      <c r="C188" s="106">
        <v>45</v>
      </c>
      <c r="D188" s="106">
        <v>140</v>
      </c>
      <c r="E188" s="64" t="s">
        <v>1342</v>
      </c>
      <c r="F188" s="90">
        <v>2.09</v>
      </c>
    </row>
    <row r="189" spans="2:6" x14ac:dyDescent="0.25">
      <c r="B189" s="106" t="s">
        <v>1217</v>
      </c>
      <c r="C189" s="106">
        <v>45</v>
      </c>
      <c r="D189" s="106">
        <v>140</v>
      </c>
      <c r="E189" s="64" t="s">
        <v>1345</v>
      </c>
      <c r="F189" s="90">
        <v>3.06</v>
      </c>
    </row>
    <row r="190" spans="2:6" x14ac:dyDescent="0.25">
      <c r="B190" s="106" t="s">
        <v>1217</v>
      </c>
      <c r="C190" s="106">
        <v>45</v>
      </c>
      <c r="D190" s="106">
        <v>140</v>
      </c>
      <c r="E190" s="195" t="s">
        <v>1346</v>
      </c>
      <c r="F190" s="90">
        <v>4.3</v>
      </c>
    </row>
    <row r="191" spans="2:6" x14ac:dyDescent="0.25">
      <c r="B191" s="106" t="s">
        <v>1217</v>
      </c>
      <c r="C191" s="106">
        <v>45</v>
      </c>
      <c r="D191" s="106">
        <v>140</v>
      </c>
      <c r="E191" s="64" t="s">
        <v>1347</v>
      </c>
      <c r="F191" s="90">
        <v>4.5199999999999996</v>
      </c>
    </row>
    <row r="192" spans="2:6" x14ac:dyDescent="0.25">
      <c r="B192" s="106" t="s">
        <v>898</v>
      </c>
      <c r="C192" s="106">
        <v>45</v>
      </c>
      <c r="D192" s="106">
        <v>150</v>
      </c>
      <c r="E192" s="195" t="s">
        <v>1348</v>
      </c>
      <c r="F192" s="90">
        <v>4.05</v>
      </c>
    </row>
    <row r="193" spans="2:6" x14ac:dyDescent="0.25">
      <c r="B193" s="106" t="s">
        <v>1217</v>
      </c>
      <c r="C193" s="106">
        <v>45</v>
      </c>
      <c r="D193" s="106">
        <v>150</v>
      </c>
      <c r="E193" s="195" t="s">
        <v>1349</v>
      </c>
      <c r="F193" s="90">
        <v>4.43</v>
      </c>
    </row>
    <row r="194" spans="2:6" x14ac:dyDescent="0.25">
      <c r="B194" s="106" t="s">
        <v>1217</v>
      </c>
      <c r="C194" s="106">
        <v>45</v>
      </c>
      <c r="D194" s="106">
        <v>150</v>
      </c>
      <c r="E194" s="64" t="s">
        <v>1350</v>
      </c>
      <c r="F194" s="90">
        <v>2.12</v>
      </c>
    </row>
    <row r="195" spans="2:6" x14ac:dyDescent="0.25">
      <c r="B195" s="106" t="s">
        <v>898</v>
      </c>
      <c r="C195" s="106">
        <v>45</v>
      </c>
      <c r="D195" s="106">
        <v>150</v>
      </c>
      <c r="E195" s="195" t="s">
        <v>1351</v>
      </c>
      <c r="F195" s="90">
        <v>0.42</v>
      </c>
    </row>
    <row r="196" spans="2:6" x14ac:dyDescent="0.25">
      <c r="B196" s="106" t="s">
        <v>1217</v>
      </c>
      <c r="C196" s="106">
        <v>45</v>
      </c>
      <c r="D196" s="106">
        <v>150</v>
      </c>
      <c r="E196" s="195" t="s">
        <v>1352</v>
      </c>
      <c r="F196" s="90">
        <v>2.34</v>
      </c>
    </row>
    <row r="197" spans="2:6" x14ac:dyDescent="0.25">
      <c r="B197" s="106" t="s">
        <v>1217</v>
      </c>
      <c r="C197" s="106">
        <v>45</v>
      </c>
      <c r="D197" s="106">
        <v>150</v>
      </c>
      <c r="E197" s="195" t="s">
        <v>976</v>
      </c>
      <c r="F197" s="90">
        <v>3.75</v>
      </c>
    </row>
    <row r="198" spans="2:6" x14ac:dyDescent="0.25">
      <c r="B198" s="106" t="s">
        <v>1217</v>
      </c>
      <c r="C198" s="106">
        <v>45</v>
      </c>
      <c r="D198" s="106">
        <v>150</v>
      </c>
      <c r="E198" s="64" t="s">
        <v>1353</v>
      </c>
      <c r="F198" s="90">
        <v>0.85</v>
      </c>
    </row>
    <row r="199" spans="2:6" x14ac:dyDescent="0.25">
      <c r="B199" s="106" t="s">
        <v>1217</v>
      </c>
      <c r="C199" s="106">
        <v>45</v>
      </c>
      <c r="D199" s="106">
        <v>150</v>
      </c>
      <c r="E199" s="64" t="s">
        <v>1354</v>
      </c>
      <c r="F199" s="90">
        <v>4.8</v>
      </c>
    </row>
    <row r="200" spans="2:6" x14ac:dyDescent="0.25">
      <c r="B200" s="106" t="s">
        <v>1217</v>
      </c>
      <c r="C200" s="106">
        <v>45</v>
      </c>
      <c r="D200" s="106">
        <v>150</v>
      </c>
      <c r="E200" s="195" t="s">
        <v>1355</v>
      </c>
      <c r="F200" s="90">
        <v>6.49</v>
      </c>
    </row>
    <row r="201" spans="2:6" x14ac:dyDescent="0.25">
      <c r="B201" s="106" t="s">
        <v>1217</v>
      </c>
      <c r="C201" s="106">
        <v>45</v>
      </c>
      <c r="D201" s="106">
        <v>150</v>
      </c>
      <c r="E201" s="195" t="s">
        <v>1356</v>
      </c>
      <c r="F201" s="90">
        <v>3.55</v>
      </c>
    </row>
    <row r="202" spans="2:6" x14ac:dyDescent="0.25">
      <c r="B202" s="106" t="s">
        <v>898</v>
      </c>
      <c r="C202" s="106">
        <v>45</v>
      </c>
      <c r="D202" s="106">
        <v>160</v>
      </c>
      <c r="E202" s="64" t="s">
        <v>1357</v>
      </c>
      <c r="F202" s="90">
        <v>5</v>
      </c>
    </row>
    <row r="203" spans="2:6" x14ac:dyDescent="0.25">
      <c r="B203" s="106" t="s">
        <v>898</v>
      </c>
      <c r="C203" s="106">
        <v>45</v>
      </c>
      <c r="D203" s="106">
        <v>160</v>
      </c>
      <c r="E203" s="64" t="s">
        <v>1358</v>
      </c>
      <c r="F203" s="90">
        <v>2.3199999999999998</v>
      </c>
    </row>
    <row r="204" spans="2:6" x14ac:dyDescent="0.25">
      <c r="B204" s="106" t="s">
        <v>1217</v>
      </c>
      <c r="C204" s="106">
        <v>45</v>
      </c>
      <c r="D204" s="106">
        <v>160</v>
      </c>
      <c r="E204" s="195" t="s">
        <v>1359</v>
      </c>
      <c r="F204" s="90">
        <v>0.84</v>
      </c>
    </row>
    <row r="205" spans="2:6" x14ac:dyDescent="0.25">
      <c r="B205" s="106" t="s">
        <v>898</v>
      </c>
      <c r="C205" s="106">
        <v>45</v>
      </c>
      <c r="D205" s="106">
        <v>160</v>
      </c>
      <c r="E205" s="64" t="s">
        <v>1360</v>
      </c>
      <c r="F205" s="90">
        <v>6.14</v>
      </c>
    </row>
    <row r="206" spans="2:6" x14ac:dyDescent="0.25">
      <c r="B206" s="106" t="s">
        <v>1217</v>
      </c>
      <c r="C206" s="106">
        <v>45</v>
      </c>
      <c r="D206" s="106">
        <v>175</v>
      </c>
      <c r="E206" s="195" t="s">
        <v>1363</v>
      </c>
      <c r="F206" s="90">
        <v>1.94</v>
      </c>
    </row>
    <row r="207" spans="2:6" x14ac:dyDescent="0.25">
      <c r="B207" s="106" t="s">
        <v>1217</v>
      </c>
      <c r="C207" s="106">
        <v>45</v>
      </c>
      <c r="D207" s="106">
        <v>180</v>
      </c>
      <c r="E207" s="195" t="s">
        <v>1364</v>
      </c>
      <c r="F207" s="90">
        <v>7.03</v>
      </c>
    </row>
    <row r="208" spans="2:6" x14ac:dyDescent="0.25">
      <c r="B208" s="106" t="s">
        <v>1217</v>
      </c>
      <c r="C208" s="106">
        <v>45</v>
      </c>
      <c r="D208" s="106">
        <v>180</v>
      </c>
      <c r="E208" s="195" t="s">
        <v>1365</v>
      </c>
      <c r="F208" s="90">
        <v>6.21</v>
      </c>
    </row>
    <row r="209" spans="2:6" x14ac:dyDescent="0.25">
      <c r="B209" s="106" t="s">
        <v>1217</v>
      </c>
      <c r="C209" s="106">
        <v>45</v>
      </c>
      <c r="D209" s="106">
        <v>180</v>
      </c>
      <c r="E209" s="195" t="s">
        <v>1366</v>
      </c>
      <c r="F209" s="90">
        <v>6.39</v>
      </c>
    </row>
    <row r="210" spans="2:6" x14ac:dyDescent="0.25">
      <c r="B210" s="106" t="s">
        <v>1217</v>
      </c>
      <c r="C210" s="106">
        <v>45</v>
      </c>
      <c r="D210" s="106">
        <v>190</v>
      </c>
      <c r="E210" s="64" t="s">
        <v>332</v>
      </c>
      <c r="F210" s="90">
        <v>0.33</v>
      </c>
    </row>
    <row r="211" spans="2:6" x14ac:dyDescent="0.25">
      <c r="B211" s="106" t="s">
        <v>1217</v>
      </c>
      <c r="C211" s="106">
        <v>45</v>
      </c>
      <c r="D211" s="106">
        <v>190</v>
      </c>
      <c r="E211" s="64" t="s">
        <v>1369</v>
      </c>
      <c r="F211" s="90">
        <v>0.46500000000000002</v>
      </c>
    </row>
    <row r="212" spans="2:6" x14ac:dyDescent="0.25">
      <c r="B212" s="106" t="s">
        <v>1217</v>
      </c>
      <c r="C212" s="106">
        <v>45</v>
      </c>
      <c r="D212" s="106">
        <v>220</v>
      </c>
      <c r="E212" s="64" t="s">
        <v>1514</v>
      </c>
      <c r="F212" s="90">
        <v>5.08</v>
      </c>
    </row>
    <row r="213" spans="2:6" x14ac:dyDescent="0.25">
      <c r="B213" s="106" t="s">
        <v>898</v>
      </c>
      <c r="C213" s="106">
        <v>45</v>
      </c>
      <c r="D213" s="106" t="s">
        <v>1310</v>
      </c>
      <c r="E213" s="195" t="s">
        <v>1311</v>
      </c>
      <c r="F213" s="90">
        <v>3.69</v>
      </c>
    </row>
    <row r="214" spans="2:6" x14ac:dyDescent="0.25">
      <c r="B214" s="106" t="s">
        <v>898</v>
      </c>
      <c r="C214" s="106">
        <v>45</v>
      </c>
      <c r="D214" s="106" t="s">
        <v>1313</v>
      </c>
      <c r="E214" s="64" t="s">
        <v>1314</v>
      </c>
      <c r="F214" s="90">
        <v>3.34</v>
      </c>
    </row>
    <row r="215" spans="2:6" x14ac:dyDescent="0.25">
      <c r="B215" s="106" t="s">
        <v>1217</v>
      </c>
      <c r="C215" s="106">
        <v>45</v>
      </c>
      <c r="D215" s="106" t="s">
        <v>1328</v>
      </c>
      <c r="E215" s="195" t="s">
        <v>1329</v>
      </c>
      <c r="F215" s="90">
        <v>4.0199999999999996</v>
      </c>
    </row>
    <row r="216" spans="2:6" x14ac:dyDescent="0.25">
      <c r="B216" s="106" t="s">
        <v>1217</v>
      </c>
      <c r="C216" s="106">
        <v>45</v>
      </c>
      <c r="D216" s="112" t="s">
        <v>1328</v>
      </c>
      <c r="E216" s="64" t="s">
        <v>1327</v>
      </c>
      <c r="F216" s="90">
        <v>4.08</v>
      </c>
    </row>
    <row r="217" spans="2:6" x14ac:dyDescent="0.25">
      <c r="B217" s="106" t="s">
        <v>1217</v>
      </c>
      <c r="C217" s="106">
        <v>45</v>
      </c>
      <c r="D217" s="106" t="s">
        <v>1334</v>
      </c>
      <c r="E217" s="64" t="s">
        <v>1335</v>
      </c>
      <c r="F217" s="90">
        <v>5.72</v>
      </c>
    </row>
    <row r="218" spans="2:6" x14ac:dyDescent="0.25">
      <c r="B218" s="106" t="s">
        <v>1217</v>
      </c>
      <c r="C218" s="106">
        <v>45</v>
      </c>
      <c r="D218" s="106" t="s">
        <v>1340</v>
      </c>
      <c r="E218" s="195" t="s">
        <v>1341</v>
      </c>
      <c r="F218" s="90">
        <v>3.43</v>
      </c>
    </row>
    <row r="219" spans="2:6" x14ac:dyDescent="0.25">
      <c r="B219" s="106" t="s">
        <v>1217</v>
      </c>
      <c r="C219" s="106">
        <v>45</v>
      </c>
      <c r="D219" s="106" t="s">
        <v>1343</v>
      </c>
      <c r="E219" s="195" t="s">
        <v>1344</v>
      </c>
      <c r="F219" s="90">
        <v>6.03</v>
      </c>
    </row>
    <row r="220" spans="2:6" x14ac:dyDescent="0.25">
      <c r="B220" s="106" t="s">
        <v>1217</v>
      </c>
      <c r="C220" s="106">
        <v>45</v>
      </c>
      <c r="D220" s="106" t="s">
        <v>1361</v>
      </c>
      <c r="E220" s="64" t="s">
        <v>1362</v>
      </c>
      <c r="F220" s="90">
        <v>5.04</v>
      </c>
    </row>
    <row r="221" spans="2:6" x14ac:dyDescent="0.25">
      <c r="B221" s="106" t="s">
        <v>1217</v>
      </c>
      <c r="C221" s="106">
        <v>45</v>
      </c>
      <c r="D221" s="106" t="s">
        <v>1367</v>
      </c>
      <c r="E221" s="64" t="s">
        <v>1368</v>
      </c>
      <c r="F221" s="90">
        <v>6.24</v>
      </c>
    </row>
    <row r="222" spans="2:6" x14ac:dyDescent="0.25">
      <c r="B222" s="106" t="s">
        <v>898</v>
      </c>
      <c r="C222" s="106">
        <v>50</v>
      </c>
      <c r="D222" s="106">
        <v>140</v>
      </c>
      <c r="E222" s="64" t="s">
        <v>1370</v>
      </c>
      <c r="F222" s="90">
        <v>0.48</v>
      </c>
    </row>
    <row r="223" spans="2:6" x14ac:dyDescent="0.25">
      <c r="B223" s="106" t="s">
        <v>1217</v>
      </c>
      <c r="C223" s="106">
        <v>50</v>
      </c>
      <c r="D223" s="106">
        <v>170</v>
      </c>
      <c r="E223" s="64" t="s">
        <v>1371</v>
      </c>
      <c r="F223" s="90">
        <v>5.22</v>
      </c>
    </row>
    <row r="224" spans="2:6" x14ac:dyDescent="0.25">
      <c r="B224" s="106" t="s">
        <v>1217</v>
      </c>
      <c r="C224" s="106">
        <v>60</v>
      </c>
      <c r="D224" s="106">
        <v>180</v>
      </c>
      <c r="E224" s="64" t="s">
        <v>1372</v>
      </c>
      <c r="F224" s="90">
        <v>6.9</v>
      </c>
    </row>
    <row r="225" spans="2:6" x14ac:dyDescent="0.25">
      <c r="B225" s="106" t="s">
        <v>1217</v>
      </c>
      <c r="C225" s="106">
        <v>65</v>
      </c>
      <c r="D225" s="106">
        <v>110</v>
      </c>
      <c r="E225" s="151" t="s">
        <v>1373</v>
      </c>
      <c r="F225" s="90">
        <v>3</v>
      </c>
    </row>
    <row r="226" spans="2:6" x14ac:dyDescent="0.25">
      <c r="B226" s="106" t="s">
        <v>898</v>
      </c>
      <c r="C226" s="106" t="s">
        <v>1374</v>
      </c>
      <c r="D226" s="106">
        <v>42</v>
      </c>
      <c r="E226" s="64" t="s">
        <v>1375</v>
      </c>
      <c r="F226" s="90">
        <v>0.15</v>
      </c>
    </row>
    <row r="227" spans="2:6" x14ac:dyDescent="0.25">
      <c r="B227" s="106" t="s">
        <v>1217</v>
      </c>
      <c r="C227" s="106" t="s">
        <v>1374</v>
      </c>
      <c r="D227" s="106">
        <v>120</v>
      </c>
      <c r="E227" s="64" t="s">
        <v>1376</v>
      </c>
      <c r="F227" s="90">
        <v>5.98</v>
      </c>
    </row>
    <row r="228" spans="2:6" x14ac:dyDescent="0.25">
      <c r="B228" s="106" t="s">
        <v>1381</v>
      </c>
      <c r="C228" s="106" t="s">
        <v>1374</v>
      </c>
      <c r="D228" s="106">
        <v>180</v>
      </c>
      <c r="E228" s="64" t="s">
        <v>1435</v>
      </c>
      <c r="F228" s="90">
        <v>2.58</v>
      </c>
    </row>
    <row r="229" spans="2:6" x14ac:dyDescent="0.25">
      <c r="B229" s="106" t="s">
        <v>1381</v>
      </c>
      <c r="C229" s="106" t="s">
        <v>1374</v>
      </c>
      <c r="D229" s="106" t="s">
        <v>1433</v>
      </c>
      <c r="E229" s="64" t="s">
        <v>1434</v>
      </c>
      <c r="F229" s="90">
        <v>2.41</v>
      </c>
    </row>
    <row r="230" spans="2:6" x14ac:dyDescent="0.25">
      <c r="B230" s="106" t="s">
        <v>1378</v>
      </c>
      <c r="C230" s="106" t="s">
        <v>1377</v>
      </c>
      <c r="D230" s="106">
        <v>120</v>
      </c>
      <c r="E230" s="64" t="s">
        <v>1379</v>
      </c>
      <c r="F230" s="90">
        <v>2.42</v>
      </c>
    </row>
    <row r="231" spans="2:6" x14ac:dyDescent="0.25">
      <c r="B231" s="87" t="s">
        <v>898</v>
      </c>
      <c r="C231" s="102" t="s">
        <v>870</v>
      </c>
      <c r="D231" s="102">
        <v>30</v>
      </c>
      <c r="E231" s="146" t="s">
        <v>1059</v>
      </c>
      <c r="F231" s="103">
        <v>2.976</v>
      </c>
    </row>
    <row r="232" spans="2:6" x14ac:dyDescent="0.25">
      <c r="B232" s="79" t="s">
        <v>973</v>
      </c>
      <c r="C232" s="79" t="s">
        <v>1098</v>
      </c>
      <c r="D232" s="31" t="s">
        <v>989</v>
      </c>
      <c r="E232" s="197" t="s">
        <v>911</v>
      </c>
      <c r="F232" s="77">
        <v>2.0499999999999998</v>
      </c>
    </row>
    <row r="233" spans="2:6" x14ac:dyDescent="0.25">
      <c r="B233" s="211" t="s">
        <v>983</v>
      </c>
      <c r="C233" s="211" t="s">
        <v>853</v>
      </c>
      <c r="D233" s="216">
        <v>0.35</v>
      </c>
      <c r="E233" s="49">
        <v>1250</v>
      </c>
      <c r="F233" s="229">
        <v>4.13</v>
      </c>
    </row>
    <row r="234" spans="2:6" x14ac:dyDescent="0.25">
      <c r="B234" s="211" t="s">
        <v>983</v>
      </c>
      <c r="C234" s="211" t="s">
        <v>853</v>
      </c>
      <c r="D234" s="216">
        <v>0.45</v>
      </c>
      <c r="E234" s="49">
        <v>1250</v>
      </c>
      <c r="F234" s="229">
        <v>8.7899999999999991</v>
      </c>
    </row>
    <row r="235" spans="2:6" x14ac:dyDescent="0.25">
      <c r="B235" s="97" t="s">
        <v>973</v>
      </c>
      <c r="C235" s="97" t="s">
        <v>853</v>
      </c>
      <c r="D235" s="97">
        <v>0.5</v>
      </c>
      <c r="E235" s="42" t="s">
        <v>911</v>
      </c>
      <c r="F235" s="129">
        <v>13.904999999999999</v>
      </c>
    </row>
    <row r="236" spans="2:6" x14ac:dyDescent="0.25">
      <c r="B236" s="97" t="s">
        <v>973</v>
      </c>
      <c r="C236" s="97" t="s">
        <v>853</v>
      </c>
      <c r="D236" s="97">
        <v>0.8</v>
      </c>
      <c r="E236" s="42" t="s">
        <v>911</v>
      </c>
      <c r="F236" s="129">
        <v>30</v>
      </c>
    </row>
    <row r="237" spans="2:6" x14ac:dyDescent="0.2">
      <c r="B237" s="134" t="s">
        <v>194</v>
      </c>
      <c r="C237" s="131" t="s">
        <v>853</v>
      </c>
      <c r="D237" s="131">
        <v>1</v>
      </c>
      <c r="E237" s="51" t="s">
        <v>911</v>
      </c>
      <c r="F237" s="132">
        <v>0.45500000000000002</v>
      </c>
    </row>
    <row r="238" spans="2:6" x14ac:dyDescent="0.25">
      <c r="B238" s="106" t="s">
        <v>1381</v>
      </c>
      <c r="C238" s="106" t="s">
        <v>1380</v>
      </c>
      <c r="D238" s="106">
        <v>190</v>
      </c>
      <c r="E238" s="195" t="s">
        <v>1384</v>
      </c>
      <c r="F238" s="90">
        <v>6.24</v>
      </c>
    </row>
    <row r="239" spans="2:6" x14ac:dyDescent="0.25">
      <c r="B239" s="106" t="s">
        <v>1381</v>
      </c>
      <c r="C239" s="106" t="s">
        <v>1380</v>
      </c>
      <c r="D239" s="106">
        <v>200</v>
      </c>
      <c r="E239" s="195" t="s">
        <v>1385</v>
      </c>
      <c r="F239" s="90">
        <v>0.56999999999999995</v>
      </c>
    </row>
    <row r="240" spans="2:6" x14ac:dyDescent="0.25">
      <c r="B240" s="106" t="s">
        <v>1381</v>
      </c>
      <c r="C240" s="106" t="s">
        <v>1380</v>
      </c>
      <c r="D240" s="106">
        <v>200</v>
      </c>
      <c r="E240" s="195" t="s">
        <v>1386</v>
      </c>
      <c r="F240" s="90">
        <v>5.09</v>
      </c>
    </row>
    <row r="241" spans="2:6" x14ac:dyDescent="0.25">
      <c r="B241" s="79" t="s">
        <v>194</v>
      </c>
      <c r="C241" s="79" t="s">
        <v>853</v>
      </c>
      <c r="D241" s="63" t="s">
        <v>988</v>
      </c>
      <c r="E241" s="79" t="s">
        <v>911</v>
      </c>
      <c r="F241" s="4">
        <v>22.02</v>
      </c>
    </row>
    <row r="242" spans="2:6" x14ac:dyDescent="0.25">
      <c r="B242" s="79" t="s">
        <v>194</v>
      </c>
      <c r="C242" s="79" t="s">
        <v>853</v>
      </c>
      <c r="D242" s="31" t="s">
        <v>989</v>
      </c>
      <c r="E242" s="88" t="s">
        <v>913</v>
      </c>
      <c r="F242" s="83">
        <v>12.86</v>
      </c>
    </row>
    <row r="243" spans="2:6" x14ac:dyDescent="0.25">
      <c r="B243" s="79" t="s">
        <v>194</v>
      </c>
      <c r="C243" s="79" t="s">
        <v>853</v>
      </c>
      <c r="D243" s="31" t="s">
        <v>978</v>
      </c>
      <c r="E243" s="88" t="s">
        <v>913</v>
      </c>
      <c r="F243" s="114">
        <v>2.165</v>
      </c>
    </row>
    <row r="244" spans="2:6" x14ac:dyDescent="0.25">
      <c r="B244" s="106" t="s">
        <v>1381</v>
      </c>
      <c r="C244" s="106" t="s">
        <v>1380</v>
      </c>
      <c r="D244" s="106" t="s">
        <v>1382</v>
      </c>
      <c r="E244" s="64" t="s">
        <v>1383</v>
      </c>
      <c r="F244" s="90">
        <v>3.41</v>
      </c>
    </row>
    <row r="245" spans="2:6" x14ac:dyDescent="0.25">
      <c r="B245" s="79" t="s">
        <v>973</v>
      </c>
      <c r="C245" s="197" t="s">
        <v>974</v>
      </c>
      <c r="D245" s="31" t="s">
        <v>990</v>
      </c>
      <c r="E245" s="197" t="s">
        <v>911</v>
      </c>
      <c r="F245" s="77">
        <v>4.6399999999999997</v>
      </c>
    </row>
    <row r="246" spans="2:6" x14ac:dyDescent="0.2">
      <c r="B246" s="87" t="s">
        <v>1100</v>
      </c>
      <c r="C246" s="30" t="s">
        <v>868</v>
      </c>
      <c r="D246" s="30">
        <v>0.8</v>
      </c>
      <c r="E246" s="51" t="s">
        <v>911</v>
      </c>
      <c r="F246" s="32">
        <v>0.08</v>
      </c>
    </row>
    <row r="247" spans="2:6" x14ac:dyDescent="0.2">
      <c r="B247" s="106" t="s">
        <v>1378</v>
      </c>
      <c r="C247" s="94" t="s">
        <v>249</v>
      </c>
      <c r="D247" s="94">
        <v>2.5</v>
      </c>
      <c r="E247" s="197" t="s">
        <v>913</v>
      </c>
      <c r="F247" s="133">
        <v>0.08</v>
      </c>
    </row>
    <row r="248" spans="2:6" x14ac:dyDescent="0.25">
      <c r="B248" s="106" t="s">
        <v>1378</v>
      </c>
      <c r="C248" s="97" t="s">
        <v>313</v>
      </c>
      <c r="D248" s="97">
        <v>3</v>
      </c>
      <c r="E248" s="42" t="s">
        <v>1069</v>
      </c>
      <c r="F248" s="129">
        <v>0.33500000000000002</v>
      </c>
    </row>
    <row r="249" spans="2:6" x14ac:dyDescent="0.2">
      <c r="B249" s="134" t="s">
        <v>1529</v>
      </c>
      <c r="C249" s="30" t="s">
        <v>829</v>
      </c>
      <c r="D249" s="30">
        <v>1.5</v>
      </c>
      <c r="E249" s="51">
        <v>300</v>
      </c>
      <c r="F249" s="32">
        <v>0.98</v>
      </c>
    </row>
    <row r="250" spans="2:6" x14ac:dyDescent="0.25">
      <c r="B250" s="106" t="s">
        <v>1378</v>
      </c>
      <c r="C250" s="106" t="s">
        <v>1387</v>
      </c>
      <c r="D250" s="106">
        <v>16</v>
      </c>
      <c r="E250" s="87" t="s">
        <v>1388</v>
      </c>
      <c r="F250" s="90">
        <v>0.9</v>
      </c>
    </row>
    <row r="251" spans="2:6" x14ac:dyDescent="0.25">
      <c r="B251" s="106" t="s">
        <v>1378</v>
      </c>
      <c r="C251" s="106" t="s">
        <v>1387</v>
      </c>
      <c r="D251" s="106">
        <v>16</v>
      </c>
      <c r="E251" s="87" t="s">
        <v>1389</v>
      </c>
      <c r="F251" s="90">
        <v>0.3</v>
      </c>
    </row>
    <row r="252" spans="2:6" x14ac:dyDescent="0.25">
      <c r="B252" s="87" t="s">
        <v>898</v>
      </c>
      <c r="C252" s="95" t="s">
        <v>210</v>
      </c>
      <c r="D252" s="14">
        <v>3</v>
      </c>
      <c r="E252" s="88" t="s">
        <v>901</v>
      </c>
      <c r="F252" s="90">
        <v>0.22</v>
      </c>
    </row>
    <row r="253" spans="2:6" x14ac:dyDescent="0.25">
      <c r="B253" s="116" t="s">
        <v>898</v>
      </c>
      <c r="C253" s="213" t="s">
        <v>210</v>
      </c>
      <c r="D253" s="219">
        <v>4</v>
      </c>
      <c r="E253" s="225" t="s">
        <v>901</v>
      </c>
      <c r="F253" s="115">
        <v>9.66</v>
      </c>
    </row>
    <row r="254" spans="2:6" x14ac:dyDescent="0.25">
      <c r="B254" s="87" t="s">
        <v>898</v>
      </c>
      <c r="C254" s="95" t="s">
        <v>210</v>
      </c>
      <c r="D254" s="14">
        <v>6</v>
      </c>
      <c r="E254" s="88" t="s">
        <v>901</v>
      </c>
      <c r="F254" s="90">
        <v>2.5499999999999998</v>
      </c>
    </row>
    <row r="255" spans="2:6" x14ac:dyDescent="0.25">
      <c r="B255" s="97" t="s">
        <v>898</v>
      </c>
      <c r="C255" s="97" t="s">
        <v>210</v>
      </c>
      <c r="D255" s="97">
        <v>12</v>
      </c>
      <c r="E255" s="42" t="s">
        <v>902</v>
      </c>
      <c r="F255" s="129">
        <v>1.1299999999999999</v>
      </c>
    </row>
    <row r="256" spans="2:6" x14ac:dyDescent="0.25">
      <c r="B256" s="97" t="s">
        <v>898</v>
      </c>
      <c r="C256" s="97" t="s">
        <v>210</v>
      </c>
      <c r="D256" s="97">
        <v>12</v>
      </c>
      <c r="E256" s="42" t="s">
        <v>942</v>
      </c>
      <c r="F256" s="129">
        <v>4.5199999999999996</v>
      </c>
    </row>
    <row r="257" spans="2:6" x14ac:dyDescent="0.25">
      <c r="B257" s="97" t="s">
        <v>898</v>
      </c>
      <c r="C257" s="97" t="s">
        <v>210</v>
      </c>
      <c r="D257" s="97">
        <v>14</v>
      </c>
      <c r="E257" s="42" t="s">
        <v>902</v>
      </c>
      <c r="F257" s="129">
        <v>1.32</v>
      </c>
    </row>
    <row r="258" spans="2:6" x14ac:dyDescent="0.25">
      <c r="B258" s="87" t="s">
        <v>898</v>
      </c>
      <c r="C258" s="74" t="s">
        <v>210</v>
      </c>
      <c r="D258" s="14">
        <v>16</v>
      </c>
      <c r="E258" s="197" t="s">
        <v>902</v>
      </c>
      <c r="F258" s="92">
        <v>9.09</v>
      </c>
    </row>
    <row r="259" spans="2:6" x14ac:dyDescent="0.25">
      <c r="B259" s="87" t="s">
        <v>898</v>
      </c>
      <c r="C259" s="104" t="s">
        <v>210</v>
      </c>
      <c r="D259" s="123">
        <v>18</v>
      </c>
      <c r="E259" s="147" t="s">
        <v>960</v>
      </c>
      <c r="F259" s="121">
        <v>8.5060000000000002</v>
      </c>
    </row>
    <row r="260" spans="2:6" x14ac:dyDescent="0.25">
      <c r="B260" s="97" t="s">
        <v>898</v>
      </c>
      <c r="C260" s="97" t="s">
        <v>210</v>
      </c>
      <c r="D260" s="97">
        <v>25</v>
      </c>
      <c r="E260" s="42" t="s">
        <v>916</v>
      </c>
      <c r="F260" s="129">
        <v>3.53</v>
      </c>
    </row>
    <row r="261" spans="2:6" x14ac:dyDescent="0.25">
      <c r="B261" s="97" t="s">
        <v>898</v>
      </c>
      <c r="C261" s="97" t="s">
        <v>210</v>
      </c>
      <c r="D261" s="97">
        <v>25</v>
      </c>
      <c r="E261" s="42" t="s">
        <v>902</v>
      </c>
      <c r="F261" s="129">
        <v>2.35</v>
      </c>
    </row>
    <row r="262" spans="2:6" x14ac:dyDescent="0.2">
      <c r="B262" s="119" t="s">
        <v>898</v>
      </c>
      <c r="C262" s="118" t="s">
        <v>210</v>
      </c>
      <c r="D262" s="124">
        <v>28</v>
      </c>
      <c r="E262" s="148" t="s">
        <v>901</v>
      </c>
      <c r="F262" s="120">
        <v>6.0869999999999997</v>
      </c>
    </row>
    <row r="263" spans="2:6" x14ac:dyDescent="0.2">
      <c r="B263" s="119" t="s">
        <v>898</v>
      </c>
      <c r="C263" s="118" t="s">
        <v>210</v>
      </c>
      <c r="D263" s="124">
        <v>32</v>
      </c>
      <c r="E263" s="148" t="s">
        <v>996</v>
      </c>
      <c r="F263" s="120">
        <v>6.1840000000000002</v>
      </c>
    </row>
    <row r="264" spans="2:6" x14ac:dyDescent="0.25">
      <c r="B264" s="112" t="s">
        <v>898</v>
      </c>
      <c r="C264" s="101" t="s">
        <v>210</v>
      </c>
      <c r="D264" s="101">
        <v>200</v>
      </c>
      <c r="E264" s="51">
        <v>350</v>
      </c>
      <c r="F264" s="99">
        <v>0.23200000000000004</v>
      </c>
    </row>
    <row r="265" spans="2:6" x14ac:dyDescent="0.25">
      <c r="B265" s="112" t="s">
        <v>898</v>
      </c>
      <c r="C265" s="101" t="s">
        <v>210</v>
      </c>
      <c r="D265" s="101">
        <v>200</v>
      </c>
      <c r="E265" s="51" t="s">
        <v>919</v>
      </c>
      <c r="F265" s="99">
        <v>0.96200000000000008</v>
      </c>
    </row>
    <row r="266" spans="2:6" x14ac:dyDescent="0.25">
      <c r="B266" s="112" t="s">
        <v>898</v>
      </c>
      <c r="C266" s="112" t="s">
        <v>210</v>
      </c>
      <c r="D266" s="112">
        <v>200</v>
      </c>
      <c r="E266" s="51" t="s">
        <v>440</v>
      </c>
      <c r="F266" s="194">
        <v>0.36</v>
      </c>
    </row>
    <row r="267" spans="2:6" x14ac:dyDescent="0.25">
      <c r="B267" s="87" t="s">
        <v>898</v>
      </c>
      <c r="C267" s="74" t="s">
        <v>210</v>
      </c>
      <c r="D267" s="14" t="s">
        <v>242</v>
      </c>
      <c r="E267" s="87" t="s">
        <v>902</v>
      </c>
      <c r="F267" s="93">
        <v>0.95</v>
      </c>
    </row>
    <row r="268" spans="2:6" x14ac:dyDescent="0.25">
      <c r="B268" s="87" t="s">
        <v>898</v>
      </c>
      <c r="C268" s="74" t="s">
        <v>210</v>
      </c>
      <c r="D268" s="14" t="s">
        <v>242</v>
      </c>
      <c r="E268" s="87" t="s">
        <v>901</v>
      </c>
      <c r="F268" s="93">
        <v>9.48</v>
      </c>
    </row>
    <row r="269" spans="2:6" x14ac:dyDescent="0.25">
      <c r="B269" s="87" t="s">
        <v>898</v>
      </c>
      <c r="C269" s="74" t="s">
        <v>210</v>
      </c>
      <c r="D269" s="65" t="s">
        <v>242</v>
      </c>
      <c r="E269" s="88" t="s">
        <v>901</v>
      </c>
      <c r="F269" s="196">
        <v>4.9800000000000004</v>
      </c>
    </row>
    <row r="270" spans="2:6" x14ac:dyDescent="0.25">
      <c r="B270" s="87" t="s">
        <v>898</v>
      </c>
      <c r="C270" s="74" t="s">
        <v>210</v>
      </c>
      <c r="D270" s="14" t="s">
        <v>180</v>
      </c>
      <c r="E270" s="48" t="s">
        <v>914</v>
      </c>
      <c r="F270" s="93">
        <v>0.54</v>
      </c>
    </row>
    <row r="271" spans="2:6" x14ac:dyDescent="0.25">
      <c r="B271" s="87" t="s">
        <v>898</v>
      </c>
      <c r="C271" s="74" t="s">
        <v>210</v>
      </c>
      <c r="D271" s="14" t="s">
        <v>180</v>
      </c>
      <c r="E271" s="48" t="s">
        <v>998</v>
      </c>
      <c r="F271" s="93">
        <v>2.8</v>
      </c>
    </row>
    <row r="272" spans="2:6" x14ac:dyDescent="0.25">
      <c r="B272" s="87" t="s">
        <v>898</v>
      </c>
      <c r="C272" s="74" t="s">
        <v>210</v>
      </c>
      <c r="D272" s="14" t="s">
        <v>53</v>
      </c>
      <c r="E272" s="48" t="s">
        <v>915</v>
      </c>
      <c r="F272" s="93">
        <v>0.19</v>
      </c>
    </row>
    <row r="273" spans="2:6" x14ac:dyDescent="0.25">
      <c r="B273" s="87" t="s">
        <v>898</v>
      </c>
      <c r="C273" s="74" t="s">
        <v>210</v>
      </c>
      <c r="D273" s="14" t="s">
        <v>245</v>
      </c>
      <c r="E273" s="88" t="s">
        <v>901</v>
      </c>
      <c r="F273" s="75">
        <v>7.84</v>
      </c>
    </row>
    <row r="274" spans="2:6" x14ac:dyDescent="0.25">
      <c r="B274" s="87" t="s">
        <v>898</v>
      </c>
      <c r="C274" s="74" t="s">
        <v>210</v>
      </c>
      <c r="D274" s="14" t="s">
        <v>154</v>
      </c>
      <c r="E274" s="197" t="s">
        <v>902</v>
      </c>
      <c r="F274" s="92">
        <v>7.6</v>
      </c>
    </row>
    <row r="275" spans="2:6" x14ac:dyDescent="0.25">
      <c r="B275" s="87" t="s">
        <v>898</v>
      </c>
      <c r="C275" s="74" t="s">
        <v>210</v>
      </c>
      <c r="D275" s="14" t="s">
        <v>777</v>
      </c>
      <c r="E275" s="88" t="s">
        <v>901</v>
      </c>
      <c r="F275" s="96">
        <v>7.43</v>
      </c>
    </row>
    <row r="276" spans="2:6" x14ac:dyDescent="0.25">
      <c r="B276" s="87" t="s">
        <v>898</v>
      </c>
      <c r="C276" s="95" t="s">
        <v>210</v>
      </c>
      <c r="D276" s="14" t="s">
        <v>184</v>
      </c>
      <c r="E276" s="88" t="s">
        <v>1105</v>
      </c>
      <c r="F276" s="90">
        <v>14.63</v>
      </c>
    </row>
    <row r="277" spans="2:6" x14ac:dyDescent="0.25">
      <c r="B277" s="87" t="s">
        <v>898</v>
      </c>
      <c r="C277" s="74" t="s">
        <v>210</v>
      </c>
      <c r="D277" s="14" t="s">
        <v>57</v>
      </c>
      <c r="E277" s="197" t="s">
        <v>917</v>
      </c>
      <c r="F277" s="93">
        <v>3.69</v>
      </c>
    </row>
    <row r="278" spans="2:6" x14ac:dyDescent="0.25">
      <c r="B278" s="87" t="s">
        <v>898</v>
      </c>
      <c r="C278" s="74" t="s">
        <v>210</v>
      </c>
      <c r="D278" s="14" t="s">
        <v>278</v>
      </c>
      <c r="E278" s="88" t="s">
        <v>901</v>
      </c>
      <c r="F278" s="93">
        <v>6.86</v>
      </c>
    </row>
    <row r="279" spans="2:6" x14ac:dyDescent="0.25">
      <c r="B279" s="87" t="s">
        <v>898</v>
      </c>
      <c r="C279" s="74" t="s">
        <v>210</v>
      </c>
      <c r="D279" s="14" t="s">
        <v>655</v>
      </c>
      <c r="E279" s="197" t="s">
        <v>1107</v>
      </c>
      <c r="F279" s="93">
        <v>2.99</v>
      </c>
    </row>
    <row r="280" spans="2:6" x14ac:dyDescent="0.25">
      <c r="B280" s="87" t="s">
        <v>898</v>
      </c>
      <c r="C280" s="74" t="s">
        <v>210</v>
      </c>
      <c r="D280" s="14" t="s">
        <v>240</v>
      </c>
      <c r="E280" s="88" t="s">
        <v>901</v>
      </c>
      <c r="F280" s="93">
        <v>3.53</v>
      </c>
    </row>
    <row r="281" spans="2:6" x14ac:dyDescent="0.25">
      <c r="B281" s="87" t="s">
        <v>898</v>
      </c>
      <c r="C281" s="74" t="s">
        <v>210</v>
      </c>
      <c r="D281" s="14" t="s">
        <v>657</v>
      </c>
      <c r="E281" s="87" t="s">
        <v>902</v>
      </c>
      <c r="F281" s="93">
        <v>0</v>
      </c>
    </row>
    <row r="282" spans="2:6" x14ac:dyDescent="0.25">
      <c r="B282" s="87" t="s">
        <v>898</v>
      </c>
      <c r="C282" s="74" t="s">
        <v>210</v>
      </c>
      <c r="D282" s="14" t="s">
        <v>238</v>
      </c>
      <c r="E282" s="88" t="s">
        <v>901</v>
      </c>
      <c r="F282" s="93">
        <v>1.32</v>
      </c>
    </row>
    <row r="283" spans="2:6" s="68" customFormat="1" x14ac:dyDescent="0.25">
      <c r="B283" s="87" t="s">
        <v>898</v>
      </c>
      <c r="C283" s="74" t="s">
        <v>210</v>
      </c>
      <c r="D283" s="14" t="s">
        <v>239</v>
      </c>
      <c r="E283" s="88" t="s">
        <v>901</v>
      </c>
      <c r="F283" s="70">
        <v>1.72</v>
      </c>
    </row>
    <row r="284" spans="2:6" s="68" customFormat="1" x14ac:dyDescent="0.25">
      <c r="B284" s="87" t="s">
        <v>898</v>
      </c>
      <c r="C284" s="74" t="s">
        <v>858</v>
      </c>
      <c r="D284" s="14" t="s">
        <v>184</v>
      </c>
      <c r="E284" s="78" t="s">
        <v>1000</v>
      </c>
      <c r="F284" s="75">
        <v>23.27</v>
      </c>
    </row>
    <row r="285" spans="2:6" s="68" customFormat="1" x14ac:dyDescent="0.25">
      <c r="B285" s="87" t="s">
        <v>898</v>
      </c>
      <c r="C285" s="87" t="s">
        <v>859</v>
      </c>
      <c r="D285" s="14" t="s">
        <v>184</v>
      </c>
      <c r="E285" s="88" t="s">
        <v>1106</v>
      </c>
      <c r="F285" s="105">
        <v>25.65</v>
      </c>
    </row>
    <row r="286" spans="2:6" x14ac:dyDescent="0.25">
      <c r="B286" s="87" t="s">
        <v>898</v>
      </c>
      <c r="C286" s="74" t="s">
        <v>859</v>
      </c>
      <c r="D286" s="14" t="s">
        <v>655</v>
      </c>
      <c r="E286" s="87" t="s">
        <v>1108</v>
      </c>
      <c r="F286" s="93">
        <v>10.33</v>
      </c>
    </row>
    <row r="287" spans="2:6" x14ac:dyDescent="0.25">
      <c r="B287" s="87" t="s">
        <v>898</v>
      </c>
      <c r="C287" s="74" t="s">
        <v>859</v>
      </c>
      <c r="D287" s="14" t="s">
        <v>658</v>
      </c>
      <c r="E287" s="88" t="s">
        <v>901</v>
      </c>
      <c r="F287" s="93">
        <v>4.3</v>
      </c>
    </row>
    <row r="288" spans="2:6" x14ac:dyDescent="0.25">
      <c r="B288" s="87" t="s">
        <v>898</v>
      </c>
      <c r="C288" s="74" t="s">
        <v>859</v>
      </c>
      <c r="D288" s="14" t="s">
        <v>154</v>
      </c>
      <c r="E288" s="197" t="s">
        <v>999</v>
      </c>
      <c r="F288" s="75">
        <v>4.99</v>
      </c>
    </row>
    <row r="289" spans="2:6" x14ac:dyDescent="0.25">
      <c r="B289" s="106" t="s">
        <v>1391</v>
      </c>
      <c r="C289" s="106" t="s">
        <v>1390</v>
      </c>
      <c r="D289" s="106">
        <v>8</v>
      </c>
      <c r="E289" s="87" t="s">
        <v>1392</v>
      </c>
      <c r="F289" s="90">
        <v>6.01</v>
      </c>
    </row>
    <row r="290" spans="2:6" x14ac:dyDescent="0.25">
      <c r="B290" s="106" t="s">
        <v>1391</v>
      </c>
      <c r="C290" s="106" t="s">
        <v>1393</v>
      </c>
      <c r="D290" s="106">
        <v>28</v>
      </c>
      <c r="E290" s="195" t="s">
        <v>1233</v>
      </c>
      <c r="F290" s="90">
        <v>1.68</v>
      </c>
    </row>
    <row r="291" spans="2:6" x14ac:dyDescent="0.25">
      <c r="B291" s="106" t="s">
        <v>1391</v>
      </c>
      <c r="C291" s="106" t="s">
        <v>1393</v>
      </c>
      <c r="D291" s="106">
        <v>30</v>
      </c>
      <c r="E291" s="64" t="s">
        <v>1394</v>
      </c>
      <c r="F291" s="90">
        <v>1.64</v>
      </c>
    </row>
    <row r="292" spans="2:6" x14ac:dyDescent="0.25">
      <c r="B292" s="106" t="s">
        <v>1391</v>
      </c>
      <c r="C292" s="106" t="s">
        <v>1393</v>
      </c>
      <c r="D292" s="106">
        <v>30</v>
      </c>
      <c r="E292" s="64" t="s">
        <v>1395</v>
      </c>
      <c r="F292" s="90">
        <v>1.0900000000000001</v>
      </c>
    </row>
    <row r="293" spans="2:6" x14ac:dyDescent="0.25">
      <c r="B293" s="106" t="s">
        <v>898</v>
      </c>
      <c r="C293" s="106" t="s">
        <v>1396</v>
      </c>
      <c r="D293" s="106">
        <v>140</v>
      </c>
      <c r="E293" s="64" t="s">
        <v>1397</v>
      </c>
      <c r="F293" s="90">
        <v>4.09</v>
      </c>
    </row>
    <row r="294" spans="2:6" x14ac:dyDescent="0.25">
      <c r="B294" s="106" t="s">
        <v>898</v>
      </c>
      <c r="C294" s="106" t="s">
        <v>1048</v>
      </c>
      <c r="D294" s="106">
        <v>32</v>
      </c>
      <c r="E294" s="195" t="s">
        <v>1398</v>
      </c>
      <c r="F294" s="90">
        <v>6.46</v>
      </c>
    </row>
    <row r="295" spans="2:6" x14ac:dyDescent="0.25">
      <c r="B295" s="87" t="s">
        <v>898</v>
      </c>
      <c r="C295" s="102" t="s">
        <v>1048</v>
      </c>
      <c r="D295" s="102" t="s">
        <v>1047</v>
      </c>
      <c r="E295" s="146" t="s">
        <v>920</v>
      </c>
      <c r="F295" s="103">
        <v>3.165</v>
      </c>
    </row>
    <row r="296" spans="2:6" x14ac:dyDescent="0.25">
      <c r="B296" s="87" t="s">
        <v>898</v>
      </c>
      <c r="C296" s="104" t="s">
        <v>984</v>
      </c>
      <c r="D296" s="123">
        <v>15</v>
      </c>
      <c r="E296" s="147" t="s">
        <v>995</v>
      </c>
      <c r="F296" s="121">
        <v>18.28</v>
      </c>
    </row>
    <row r="297" spans="2:6" x14ac:dyDescent="0.2">
      <c r="B297" s="119" t="s">
        <v>898</v>
      </c>
      <c r="C297" s="118" t="s">
        <v>984</v>
      </c>
      <c r="D297" s="124">
        <v>16</v>
      </c>
      <c r="E297" s="148" t="s">
        <v>1005</v>
      </c>
      <c r="F297" s="120">
        <v>4.6719999999999997</v>
      </c>
    </row>
    <row r="298" spans="2:6" x14ac:dyDescent="0.25">
      <c r="B298" s="87" t="s">
        <v>898</v>
      </c>
      <c r="C298" s="102" t="s">
        <v>250</v>
      </c>
      <c r="D298" s="102">
        <v>12</v>
      </c>
      <c r="E298" s="146" t="s">
        <v>1036</v>
      </c>
      <c r="F298" s="103">
        <v>0.86699999999999999</v>
      </c>
    </row>
    <row r="299" spans="2:6" x14ac:dyDescent="0.25">
      <c r="B299" s="87" t="s">
        <v>898</v>
      </c>
      <c r="C299" s="104" t="s">
        <v>250</v>
      </c>
      <c r="D299" s="123">
        <v>13</v>
      </c>
      <c r="E299" s="147" t="s">
        <v>970</v>
      </c>
      <c r="F299" s="121">
        <v>5.9639999999999986</v>
      </c>
    </row>
    <row r="300" spans="2:6" x14ac:dyDescent="0.2">
      <c r="B300" s="119" t="s">
        <v>898</v>
      </c>
      <c r="C300" s="118" t="s">
        <v>250</v>
      </c>
      <c r="D300" s="124">
        <v>25</v>
      </c>
      <c r="E300" s="148" t="s">
        <v>1010</v>
      </c>
      <c r="F300" s="120">
        <v>11.404</v>
      </c>
    </row>
    <row r="301" spans="2:6" x14ac:dyDescent="0.2">
      <c r="B301" s="119" t="s">
        <v>898</v>
      </c>
      <c r="C301" s="118" t="s">
        <v>250</v>
      </c>
      <c r="D301" s="124">
        <v>26</v>
      </c>
      <c r="E301" s="148" t="s">
        <v>1013</v>
      </c>
      <c r="F301" s="120">
        <v>11.55</v>
      </c>
    </row>
    <row r="302" spans="2:6" x14ac:dyDescent="0.25">
      <c r="B302" s="87" t="s">
        <v>898</v>
      </c>
      <c r="C302" s="104" t="s">
        <v>250</v>
      </c>
      <c r="D302" s="123">
        <v>26</v>
      </c>
      <c r="E302" s="147" t="s">
        <v>1022</v>
      </c>
      <c r="F302" s="121">
        <v>22.757571428571431</v>
      </c>
    </row>
    <row r="303" spans="2:6" x14ac:dyDescent="0.25">
      <c r="B303" s="87" t="s">
        <v>898</v>
      </c>
      <c r="C303" s="102" t="s">
        <v>860</v>
      </c>
      <c r="D303" s="102">
        <v>24</v>
      </c>
      <c r="E303" s="146" t="s">
        <v>921</v>
      </c>
      <c r="F303" s="103">
        <v>13.103999999999999</v>
      </c>
    </row>
    <row r="304" spans="2:6" x14ac:dyDescent="0.25">
      <c r="B304" s="106" t="s">
        <v>1378</v>
      </c>
      <c r="C304" s="112" t="s">
        <v>869</v>
      </c>
      <c r="D304" s="112">
        <v>2</v>
      </c>
      <c r="E304" s="51" t="s">
        <v>922</v>
      </c>
      <c r="F304" s="34">
        <v>1.1359999999999999</v>
      </c>
    </row>
    <row r="305" spans="2:6" x14ac:dyDescent="0.25">
      <c r="B305" s="87" t="s">
        <v>1100</v>
      </c>
      <c r="C305" s="112" t="s">
        <v>869</v>
      </c>
      <c r="D305" s="112">
        <v>5</v>
      </c>
      <c r="E305" s="51" t="s">
        <v>923</v>
      </c>
      <c r="F305" s="34">
        <v>0.31</v>
      </c>
    </row>
    <row r="306" spans="2:6" x14ac:dyDescent="0.25">
      <c r="B306" s="87" t="s">
        <v>1100</v>
      </c>
      <c r="C306" s="112" t="s">
        <v>869</v>
      </c>
      <c r="D306" s="112">
        <v>6</v>
      </c>
      <c r="E306" s="51" t="s">
        <v>924</v>
      </c>
      <c r="F306" s="34">
        <v>0.30599999999999999</v>
      </c>
    </row>
    <row r="307" spans="2:6" x14ac:dyDescent="0.25">
      <c r="B307" s="87" t="s">
        <v>898</v>
      </c>
      <c r="C307" s="102" t="s">
        <v>222</v>
      </c>
      <c r="D307" s="102">
        <v>14</v>
      </c>
      <c r="E307" s="146" t="s">
        <v>1038</v>
      </c>
      <c r="F307" s="103">
        <v>0.873</v>
      </c>
    </row>
    <row r="308" spans="2:6" x14ac:dyDescent="0.25">
      <c r="B308" s="87" t="s">
        <v>898</v>
      </c>
      <c r="C308" s="102" t="s">
        <v>222</v>
      </c>
      <c r="D308" s="102">
        <v>16</v>
      </c>
      <c r="E308" s="146" t="s">
        <v>927</v>
      </c>
      <c r="F308" s="103">
        <v>0.59699999999999998</v>
      </c>
    </row>
    <row r="309" spans="2:6" x14ac:dyDescent="0.25">
      <c r="B309" s="87" t="s">
        <v>898</v>
      </c>
      <c r="C309" s="102" t="s">
        <v>222</v>
      </c>
      <c r="D309" s="102">
        <v>17</v>
      </c>
      <c r="E309" s="146" t="s">
        <v>1039</v>
      </c>
      <c r="F309" s="103">
        <v>0.58499999999999996</v>
      </c>
    </row>
    <row r="310" spans="2:6" ht="25.5" x14ac:dyDescent="0.25">
      <c r="B310" s="87" t="s">
        <v>898</v>
      </c>
      <c r="C310" s="102" t="s">
        <v>222</v>
      </c>
      <c r="D310" s="102">
        <v>18</v>
      </c>
      <c r="E310" s="146" t="s">
        <v>1040</v>
      </c>
      <c r="F310" s="103">
        <v>1.742</v>
      </c>
    </row>
    <row r="311" spans="2:6" x14ac:dyDescent="0.25">
      <c r="B311" s="87" t="s">
        <v>898</v>
      </c>
      <c r="C311" s="102" t="s">
        <v>222</v>
      </c>
      <c r="D311" s="102">
        <v>18</v>
      </c>
      <c r="E311" s="146" t="s">
        <v>928</v>
      </c>
      <c r="F311" s="103">
        <v>0.7</v>
      </c>
    </row>
    <row r="312" spans="2:6" x14ac:dyDescent="0.25">
      <c r="B312" s="87" t="s">
        <v>898</v>
      </c>
      <c r="C312" s="102" t="s">
        <v>222</v>
      </c>
      <c r="D312" s="102">
        <v>22</v>
      </c>
      <c r="E312" s="146" t="s">
        <v>1041</v>
      </c>
      <c r="F312" s="103">
        <v>0.75</v>
      </c>
    </row>
    <row r="313" spans="2:6" x14ac:dyDescent="0.25">
      <c r="B313" s="87" t="s">
        <v>898</v>
      </c>
      <c r="C313" s="102" t="s">
        <v>222</v>
      </c>
      <c r="D313" s="102">
        <v>22</v>
      </c>
      <c r="E313" s="146" t="s">
        <v>930</v>
      </c>
      <c r="F313" s="103">
        <v>0.85199999999999998</v>
      </c>
    </row>
    <row r="314" spans="2:6" x14ac:dyDescent="0.25">
      <c r="B314" s="87" t="s">
        <v>898</v>
      </c>
      <c r="C314" s="102" t="s">
        <v>222</v>
      </c>
      <c r="D314" s="102">
        <v>22</v>
      </c>
      <c r="E314" s="146" t="s">
        <v>929</v>
      </c>
      <c r="F314" s="103">
        <v>1.036</v>
      </c>
    </row>
    <row r="315" spans="2:6" x14ac:dyDescent="0.25">
      <c r="B315" s="87" t="s">
        <v>898</v>
      </c>
      <c r="C315" s="102" t="s">
        <v>222</v>
      </c>
      <c r="D315" s="102">
        <v>24</v>
      </c>
      <c r="E315" s="146" t="s">
        <v>1042</v>
      </c>
      <c r="F315" s="103">
        <v>0.84199999999999997</v>
      </c>
    </row>
    <row r="316" spans="2:6" x14ac:dyDescent="0.25">
      <c r="B316" s="87" t="s">
        <v>898</v>
      </c>
      <c r="C316" s="102" t="s">
        <v>222</v>
      </c>
      <c r="D316" s="102">
        <v>24</v>
      </c>
      <c r="E316" s="146" t="s">
        <v>931</v>
      </c>
      <c r="F316" s="103">
        <v>1.3320000000000001</v>
      </c>
    </row>
    <row r="317" spans="2:6" x14ac:dyDescent="0.25">
      <c r="B317" s="87" t="s">
        <v>898</v>
      </c>
      <c r="C317" s="102" t="s">
        <v>222</v>
      </c>
      <c r="D317" s="102">
        <v>24</v>
      </c>
      <c r="E317" s="146" t="s">
        <v>1043</v>
      </c>
      <c r="F317" s="103">
        <v>1.2170000000000001</v>
      </c>
    </row>
    <row r="318" spans="2:6" ht="25.5" x14ac:dyDescent="0.25">
      <c r="B318" s="87" t="s">
        <v>898</v>
      </c>
      <c r="C318" s="102" t="s">
        <v>222</v>
      </c>
      <c r="D318" s="102">
        <v>26</v>
      </c>
      <c r="E318" s="146" t="s">
        <v>1044</v>
      </c>
      <c r="F318" s="103">
        <v>1.831</v>
      </c>
    </row>
    <row r="319" spans="2:6" x14ac:dyDescent="0.25">
      <c r="B319" s="87" t="s">
        <v>898</v>
      </c>
      <c r="C319" s="102" t="s">
        <v>222</v>
      </c>
      <c r="D319" s="102">
        <v>26</v>
      </c>
      <c r="E319" s="146" t="s">
        <v>932</v>
      </c>
      <c r="F319" s="103">
        <v>0.87</v>
      </c>
    </row>
    <row r="320" spans="2:6" ht="25.5" x14ac:dyDescent="0.25">
      <c r="B320" s="87" t="s">
        <v>898</v>
      </c>
      <c r="C320" s="102" t="s">
        <v>222</v>
      </c>
      <c r="D320" s="102">
        <v>27</v>
      </c>
      <c r="E320" s="146" t="s">
        <v>1045</v>
      </c>
      <c r="F320" s="103">
        <v>2.3679999999999999</v>
      </c>
    </row>
    <row r="321" spans="2:6" ht="25.5" x14ac:dyDescent="0.25">
      <c r="B321" s="87" t="s">
        <v>898</v>
      </c>
      <c r="C321" s="102" t="s">
        <v>222</v>
      </c>
      <c r="D321" s="102">
        <v>27</v>
      </c>
      <c r="E321" s="146" t="s">
        <v>1046</v>
      </c>
      <c r="F321" s="103">
        <v>2.6869999999999998</v>
      </c>
    </row>
    <row r="322" spans="2:6" x14ac:dyDescent="0.25">
      <c r="B322" s="87" t="s">
        <v>898</v>
      </c>
      <c r="C322" s="102" t="s">
        <v>222</v>
      </c>
      <c r="D322" s="102">
        <v>30</v>
      </c>
      <c r="E322" s="146" t="s">
        <v>1049</v>
      </c>
      <c r="F322" s="103">
        <v>0.95699999999999996</v>
      </c>
    </row>
    <row r="323" spans="2:6" x14ac:dyDescent="0.25">
      <c r="B323" s="87" t="s">
        <v>898</v>
      </c>
      <c r="C323" s="102" t="s">
        <v>222</v>
      </c>
      <c r="D323" s="102">
        <v>30</v>
      </c>
      <c r="E323" s="146" t="s">
        <v>1050</v>
      </c>
      <c r="F323" s="103">
        <v>2.3610000000000002</v>
      </c>
    </row>
    <row r="324" spans="2:6" x14ac:dyDescent="0.25">
      <c r="B324" s="87" t="s">
        <v>898</v>
      </c>
      <c r="C324" s="102" t="s">
        <v>222</v>
      </c>
      <c r="D324" s="102">
        <v>34</v>
      </c>
      <c r="E324" s="146" t="s">
        <v>935</v>
      </c>
      <c r="F324" s="103">
        <v>4.3639999999999999</v>
      </c>
    </row>
    <row r="325" spans="2:6" x14ac:dyDescent="0.25">
      <c r="B325" s="87" t="s">
        <v>898</v>
      </c>
      <c r="C325" s="102" t="s">
        <v>222</v>
      </c>
      <c r="D325" s="102">
        <v>40</v>
      </c>
      <c r="E325" s="146" t="s">
        <v>1051</v>
      </c>
      <c r="F325" s="103">
        <v>3.1840000000000002</v>
      </c>
    </row>
    <row r="326" spans="2:6" x14ac:dyDescent="0.25">
      <c r="B326" s="87" t="s">
        <v>898</v>
      </c>
      <c r="C326" s="102" t="s">
        <v>222</v>
      </c>
      <c r="D326" s="102">
        <v>42</v>
      </c>
      <c r="E326" s="146" t="s">
        <v>1052</v>
      </c>
      <c r="F326" s="103">
        <v>1.3959999999999999</v>
      </c>
    </row>
    <row r="327" spans="2:6" x14ac:dyDescent="0.25">
      <c r="B327" s="87" t="s">
        <v>898</v>
      </c>
      <c r="C327" s="102" t="s">
        <v>222</v>
      </c>
      <c r="D327" s="102">
        <v>42</v>
      </c>
      <c r="E327" s="146" t="s">
        <v>1053</v>
      </c>
      <c r="F327" s="103">
        <v>2.427</v>
      </c>
    </row>
    <row r="328" spans="2:6" x14ac:dyDescent="0.25">
      <c r="B328" s="87" t="s">
        <v>898</v>
      </c>
      <c r="C328" s="102" t="s">
        <v>222</v>
      </c>
      <c r="D328" s="102">
        <v>54</v>
      </c>
      <c r="E328" s="146" t="s">
        <v>936</v>
      </c>
      <c r="F328" s="103">
        <v>1.706</v>
      </c>
    </row>
    <row r="329" spans="2:6" x14ac:dyDescent="0.25">
      <c r="B329" s="87" t="s">
        <v>898</v>
      </c>
      <c r="C329" s="102" t="s">
        <v>222</v>
      </c>
      <c r="D329" s="102">
        <v>56</v>
      </c>
      <c r="E329" s="146" t="s">
        <v>937</v>
      </c>
      <c r="F329" s="103">
        <v>3.145</v>
      </c>
    </row>
    <row r="330" spans="2:6" x14ac:dyDescent="0.25">
      <c r="B330" s="87" t="s">
        <v>898</v>
      </c>
      <c r="C330" s="102" t="s">
        <v>222</v>
      </c>
      <c r="D330" s="102">
        <v>62</v>
      </c>
      <c r="E330" s="146" t="s">
        <v>938</v>
      </c>
      <c r="F330" s="103">
        <v>2.552</v>
      </c>
    </row>
    <row r="331" spans="2:6" x14ac:dyDescent="0.25">
      <c r="B331" s="87" t="s">
        <v>898</v>
      </c>
      <c r="C331" s="102" t="s">
        <v>222</v>
      </c>
      <c r="D331" s="102">
        <v>70</v>
      </c>
      <c r="E331" s="146" t="s">
        <v>1054</v>
      </c>
      <c r="F331" s="103">
        <v>4.16</v>
      </c>
    </row>
    <row r="332" spans="2:6" x14ac:dyDescent="0.25">
      <c r="B332" s="87" t="s">
        <v>898</v>
      </c>
      <c r="C332" s="102" t="s">
        <v>222</v>
      </c>
      <c r="D332" s="102">
        <v>81</v>
      </c>
      <c r="E332" s="146" t="s">
        <v>1055</v>
      </c>
      <c r="F332" s="103">
        <v>6.0110000000000001</v>
      </c>
    </row>
    <row r="333" spans="2:6" x14ac:dyDescent="0.25">
      <c r="B333" s="87" t="s">
        <v>898</v>
      </c>
      <c r="C333" s="85" t="s">
        <v>222</v>
      </c>
      <c r="D333" s="14" t="s">
        <v>246</v>
      </c>
      <c r="E333" s="87" t="s">
        <v>925</v>
      </c>
      <c r="F333" s="86">
        <v>0.39</v>
      </c>
    </row>
    <row r="334" spans="2:6" x14ac:dyDescent="0.25">
      <c r="B334" s="87" t="s">
        <v>898</v>
      </c>
      <c r="C334" s="85" t="s">
        <v>222</v>
      </c>
      <c r="D334" s="14" t="s">
        <v>246</v>
      </c>
      <c r="E334" s="87" t="s">
        <v>926</v>
      </c>
      <c r="F334" s="86">
        <v>0.34</v>
      </c>
    </row>
    <row r="335" spans="2:6" x14ac:dyDescent="0.25">
      <c r="B335" s="106" t="s">
        <v>1381</v>
      </c>
      <c r="C335" s="106" t="s">
        <v>1399</v>
      </c>
      <c r="D335" s="106">
        <v>160</v>
      </c>
      <c r="E335" s="64" t="s">
        <v>1400</v>
      </c>
      <c r="F335" s="90">
        <v>2.88</v>
      </c>
    </row>
    <row r="336" spans="2:6" x14ac:dyDescent="0.25">
      <c r="B336" s="106" t="s">
        <v>1381</v>
      </c>
      <c r="C336" s="106" t="s">
        <v>1399</v>
      </c>
      <c r="D336" s="106">
        <v>200</v>
      </c>
      <c r="E336" s="64" t="s">
        <v>1401</v>
      </c>
      <c r="F336" s="90">
        <v>4.83</v>
      </c>
    </row>
    <row r="337" spans="2:6" x14ac:dyDescent="0.25">
      <c r="B337" s="106" t="s">
        <v>1381</v>
      </c>
      <c r="C337" s="106" t="s">
        <v>1399</v>
      </c>
      <c r="D337" s="106">
        <v>200</v>
      </c>
      <c r="E337" s="64" t="s">
        <v>1402</v>
      </c>
      <c r="F337" s="90">
        <v>6.88</v>
      </c>
    </row>
    <row r="338" spans="2:6" x14ac:dyDescent="0.25">
      <c r="B338" s="106" t="s">
        <v>1381</v>
      </c>
      <c r="C338" s="106" t="s">
        <v>1403</v>
      </c>
      <c r="D338" s="106">
        <v>180</v>
      </c>
      <c r="E338" s="64" t="s">
        <v>1404</v>
      </c>
      <c r="F338" s="90">
        <v>5.08</v>
      </c>
    </row>
    <row r="339" spans="2:6" x14ac:dyDescent="0.25">
      <c r="B339" s="106" t="s">
        <v>1381</v>
      </c>
      <c r="C339" s="106" t="s">
        <v>1403</v>
      </c>
      <c r="D339" s="106">
        <v>200</v>
      </c>
      <c r="E339" s="64" t="s">
        <v>1405</v>
      </c>
      <c r="F339" s="90">
        <v>5.36</v>
      </c>
    </row>
    <row r="340" spans="2:6" x14ac:dyDescent="0.25">
      <c r="B340" s="85" t="s">
        <v>982</v>
      </c>
      <c r="C340" s="87" t="s">
        <v>1078</v>
      </c>
      <c r="D340" s="125" t="s">
        <v>991</v>
      </c>
      <c r="E340" s="197">
        <v>1250</v>
      </c>
      <c r="F340" s="70">
        <v>4.21</v>
      </c>
    </row>
    <row r="341" spans="2:6" x14ac:dyDescent="0.25">
      <c r="B341" s="97" t="s">
        <v>898</v>
      </c>
      <c r="C341" s="97" t="s">
        <v>861</v>
      </c>
      <c r="D341" s="97">
        <v>6</v>
      </c>
      <c r="E341" s="42" t="s">
        <v>1070</v>
      </c>
      <c r="F341" s="129">
        <v>0.21</v>
      </c>
    </row>
    <row r="342" spans="2:6" x14ac:dyDescent="0.2">
      <c r="B342" s="87" t="s">
        <v>898</v>
      </c>
      <c r="C342" s="164" t="s">
        <v>861</v>
      </c>
      <c r="D342" s="106">
        <v>25</v>
      </c>
      <c r="E342" s="146" t="s">
        <v>901</v>
      </c>
      <c r="F342" s="32">
        <v>1.7549999999999999</v>
      </c>
    </row>
    <row r="343" spans="2:6" x14ac:dyDescent="0.25">
      <c r="B343" s="106" t="s">
        <v>898</v>
      </c>
      <c r="C343" s="106" t="s">
        <v>861</v>
      </c>
      <c r="D343" s="106">
        <v>50</v>
      </c>
      <c r="E343" s="64" t="s">
        <v>1406</v>
      </c>
      <c r="F343" s="90">
        <v>5.07</v>
      </c>
    </row>
    <row r="344" spans="2:6" x14ac:dyDescent="0.25">
      <c r="B344" s="106" t="s">
        <v>898</v>
      </c>
      <c r="C344" s="106" t="s">
        <v>861</v>
      </c>
      <c r="D344" s="106">
        <v>50</v>
      </c>
      <c r="E344" s="64" t="s">
        <v>1407</v>
      </c>
      <c r="F344" s="90">
        <v>2.67</v>
      </c>
    </row>
    <row r="345" spans="2:6" x14ac:dyDescent="0.25">
      <c r="B345" s="106" t="s">
        <v>898</v>
      </c>
      <c r="C345" s="106" t="s">
        <v>861</v>
      </c>
      <c r="D345" s="106">
        <v>60</v>
      </c>
      <c r="E345" s="64" t="s">
        <v>916</v>
      </c>
      <c r="F345" s="90">
        <v>4.51</v>
      </c>
    </row>
    <row r="346" spans="2:6" x14ac:dyDescent="0.25">
      <c r="B346" s="106" t="s">
        <v>898</v>
      </c>
      <c r="C346" s="106" t="s">
        <v>861</v>
      </c>
      <c r="D346" s="106">
        <v>80</v>
      </c>
      <c r="E346" s="64" t="s">
        <v>1408</v>
      </c>
      <c r="F346" s="90">
        <v>6.68</v>
      </c>
    </row>
    <row r="347" spans="2:6" x14ac:dyDescent="0.25">
      <c r="B347" s="106" t="s">
        <v>898</v>
      </c>
      <c r="C347" s="106" t="s">
        <v>861</v>
      </c>
      <c r="D347" s="106">
        <v>90</v>
      </c>
      <c r="E347" s="64" t="s">
        <v>1409</v>
      </c>
      <c r="F347" s="90">
        <v>5.21</v>
      </c>
    </row>
    <row r="348" spans="2:6" x14ac:dyDescent="0.25">
      <c r="B348" s="106" t="s">
        <v>898</v>
      </c>
      <c r="C348" s="106" t="s">
        <v>861</v>
      </c>
      <c r="D348" s="106">
        <v>90</v>
      </c>
      <c r="E348" s="64" t="s">
        <v>901</v>
      </c>
      <c r="F348" s="90">
        <v>6.53</v>
      </c>
    </row>
    <row r="349" spans="2:6" x14ac:dyDescent="0.25">
      <c r="B349" s="106" t="s">
        <v>898</v>
      </c>
      <c r="C349" s="101" t="s">
        <v>861</v>
      </c>
      <c r="D349" s="106">
        <v>100</v>
      </c>
      <c r="E349" s="195" t="s">
        <v>901</v>
      </c>
      <c r="F349" s="90">
        <v>7.55</v>
      </c>
    </row>
    <row r="350" spans="2:6" x14ac:dyDescent="0.25">
      <c r="B350" s="106" t="s">
        <v>1217</v>
      </c>
      <c r="C350" s="106" t="s">
        <v>861</v>
      </c>
      <c r="D350" s="112">
        <v>100</v>
      </c>
      <c r="E350" s="64" t="s">
        <v>1410</v>
      </c>
      <c r="F350" s="90">
        <v>1.75</v>
      </c>
    </row>
    <row r="351" spans="2:6" x14ac:dyDescent="0.25">
      <c r="B351" s="106" t="s">
        <v>898</v>
      </c>
      <c r="C351" s="106" t="s">
        <v>861</v>
      </c>
      <c r="D351" s="106">
        <v>120</v>
      </c>
      <c r="E351" s="195" t="s">
        <v>1411</v>
      </c>
      <c r="F351" s="90">
        <v>6.01</v>
      </c>
    </row>
    <row r="352" spans="2:6" x14ac:dyDescent="0.25">
      <c r="B352" s="106" t="s">
        <v>898</v>
      </c>
      <c r="C352" s="106" t="s">
        <v>861</v>
      </c>
      <c r="D352" s="106">
        <v>130</v>
      </c>
      <c r="E352" s="64" t="s">
        <v>1412</v>
      </c>
      <c r="F352" s="90">
        <v>8.8699999999999992</v>
      </c>
    </row>
    <row r="353" spans="2:6" x14ac:dyDescent="0.25">
      <c r="B353" s="106" t="s">
        <v>898</v>
      </c>
      <c r="C353" s="106" t="s">
        <v>861</v>
      </c>
      <c r="D353" s="106">
        <v>150</v>
      </c>
      <c r="E353" s="64" t="s">
        <v>901</v>
      </c>
      <c r="F353" s="90">
        <v>6.15</v>
      </c>
    </row>
    <row r="354" spans="2:6" x14ac:dyDescent="0.25">
      <c r="B354" s="106" t="s">
        <v>898</v>
      </c>
      <c r="C354" s="106" t="s">
        <v>861</v>
      </c>
      <c r="D354" s="106">
        <v>150</v>
      </c>
      <c r="E354" s="64" t="s">
        <v>1413</v>
      </c>
      <c r="F354" s="90">
        <v>2.09</v>
      </c>
    </row>
    <row r="355" spans="2:6" x14ac:dyDescent="0.25">
      <c r="B355" s="106" t="s">
        <v>898</v>
      </c>
      <c r="C355" s="106" t="s">
        <v>861</v>
      </c>
      <c r="D355" s="106">
        <v>160</v>
      </c>
      <c r="E355" s="64" t="s">
        <v>901</v>
      </c>
      <c r="F355" s="90">
        <v>2.14</v>
      </c>
    </row>
    <row r="356" spans="2:6" x14ac:dyDescent="0.25">
      <c r="B356" s="87" t="s">
        <v>898</v>
      </c>
      <c r="C356" s="95" t="s">
        <v>861</v>
      </c>
      <c r="D356" s="14" t="s">
        <v>280</v>
      </c>
      <c r="E356" s="48" t="s">
        <v>941</v>
      </c>
      <c r="F356" s="75">
        <v>1.1000000000000001</v>
      </c>
    </row>
    <row r="357" spans="2:6" x14ac:dyDescent="0.25">
      <c r="B357" s="87" t="s">
        <v>898</v>
      </c>
      <c r="C357" s="95" t="s">
        <v>861</v>
      </c>
      <c r="D357" s="14" t="s">
        <v>993</v>
      </c>
      <c r="E357" s="197" t="s">
        <v>942</v>
      </c>
      <c r="F357" s="75">
        <v>5.58</v>
      </c>
    </row>
    <row r="358" spans="2:6" x14ac:dyDescent="0.25">
      <c r="B358" s="87" t="s">
        <v>898</v>
      </c>
      <c r="C358" s="102" t="s">
        <v>1035</v>
      </c>
      <c r="D358" s="102">
        <v>8</v>
      </c>
      <c r="E358" s="146" t="s">
        <v>940</v>
      </c>
      <c r="F358" s="103">
        <v>4.8</v>
      </c>
    </row>
    <row r="359" spans="2:6" x14ac:dyDescent="0.25">
      <c r="B359" s="87" t="s">
        <v>898</v>
      </c>
      <c r="C359" s="104" t="s">
        <v>879</v>
      </c>
      <c r="D359" s="123">
        <v>15</v>
      </c>
      <c r="E359" s="147" t="s">
        <v>943</v>
      </c>
      <c r="F359" s="121">
        <v>13.135</v>
      </c>
    </row>
    <row r="360" spans="2:6" x14ac:dyDescent="0.2">
      <c r="B360" s="119" t="s">
        <v>898</v>
      </c>
      <c r="C360" s="118" t="s">
        <v>879</v>
      </c>
      <c r="D360" s="124">
        <v>16</v>
      </c>
      <c r="E360" s="148" t="s">
        <v>1007</v>
      </c>
      <c r="F360" s="120">
        <v>1.335</v>
      </c>
    </row>
    <row r="361" spans="2:6" x14ac:dyDescent="0.2">
      <c r="B361" s="119" t="s">
        <v>898</v>
      </c>
      <c r="C361" s="118" t="s">
        <v>879</v>
      </c>
      <c r="D361" s="124">
        <v>16</v>
      </c>
      <c r="E361" s="148" t="s">
        <v>1008</v>
      </c>
      <c r="F361" s="120">
        <v>2.7149999999999999</v>
      </c>
    </row>
    <row r="362" spans="2:6" x14ac:dyDescent="0.25">
      <c r="B362" s="106" t="s">
        <v>898</v>
      </c>
      <c r="C362" s="106" t="s">
        <v>1414</v>
      </c>
      <c r="D362" s="106">
        <v>10</v>
      </c>
      <c r="E362" s="87" t="s">
        <v>901</v>
      </c>
      <c r="F362" s="90">
        <v>7.5599999999999987</v>
      </c>
    </row>
    <row r="363" spans="2:6" x14ac:dyDescent="0.25">
      <c r="B363" s="106" t="s">
        <v>898</v>
      </c>
      <c r="C363" s="106" t="s">
        <v>1414</v>
      </c>
      <c r="D363" s="106">
        <v>16</v>
      </c>
      <c r="E363" s="64" t="s">
        <v>1415</v>
      </c>
      <c r="F363" s="90">
        <v>2.2000000000000002</v>
      </c>
    </row>
    <row r="364" spans="2:6" x14ac:dyDescent="0.2">
      <c r="B364" s="134" t="s">
        <v>898</v>
      </c>
      <c r="C364" s="94" t="s">
        <v>248</v>
      </c>
      <c r="D364" s="94">
        <v>20</v>
      </c>
      <c r="E364" s="197" t="s">
        <v>1002</v>
      </c>
      <c r="F364" s="133">
        <v>1.5549999999999999</v>
      </c>
    </row>
    <row r="365" spans="2:6" x14ac:dyDescent="0.2">
      <c r="B365" s="87" t="s">
        <v>1100</v>
      </c>
      <c r="C365" s="94" t="s">
        <v>281</v>
      </c>
      <c r="D365" s="94">
        <v>15</v>
      </c>
      <c r="E365" s="197" t="s">
        <v>944</v>
      </c>
      <c r="F365" s="133">
        <v>0.63</v>
      </c>
    </row>
    <row r="366" spans="2:6" x14ac:dyDescent="0.2">
      <c r="B366" s="106" t="s">
        <v>1378</v>
      </c>
      <c r="C366" s="94" t="s">
        <v>281</v>
      </c>
      <c r="D366" s="94">
        <v>16</v>
      </c>
      <c r="E366" s="197" t="s">
        <v>945</v>
      </c>
      <c r="F366" s="133">
        <v>1.06</v>
      </c>
    </row>
    <row r="367" spans="2:6" x14ac:dyDescent="0.25">
      <c r="B367" s="106" t="s">
        <v>1378</v>
      </c>
      <c r="C367" s="106" t="s">
        <v>281</v>
      </c>
      <c r="D367" s="106">
        <v>16</v>
      </c>
      <c r="E367" s="87" t="s">
        <v>1416</v>
      </c>
      <c r="F367" s="90">
        <v>1.38</v>
      </c>
    </row>
    <row r="368" spans="2:6" x14ac:dyDescent="0.25">
      <c r="B368" s="106" t="s">
        <v>1378</v>
      </c>
      <c r="C368" s="106" t="s">
        <v>281</v>
      </c>
      <c r="D368" s="106">
        <v>17</v>
      </c>
      <c r="E368" s="195" t="s">
        <v>1417</v>
      </c>
      <c r="F368" s="90">
        <v>3.12</v>
      </c>
    </row>
    <row r="369" spans="2:6" x14ac:dyDescent="0.2">
      <c r="B369" s="106" t="s">
        <v>1378</v>
      </c>
      <c r="C369" s="164" t="s">
        <v>281</v>
      </c>
      <c r="D369" s="106">
        <v>8</v>
      </c>
      <c r="E369" s="146" t="s">
        <v>901</v>
      </c>
      <c r="F369" s="32">
        <v>0.53500000000000003</v>
      </c>
    </row>
    <row r="370" spans="2:6" x14ac:dyDescent="0.25">
      <c r="B370" s="106" t="s">
        <v>1378</v>
      </c>
      <c r="C370" s="106" t="s">
        <v>281</v>
      </c>
      <c r="D370" s="106">
        <v>20</v>
      </c>
      <c r="E370" s="87" t="s">
        <v>907</v>
      </c>
      <c r="F370" s="90">
        <v>3.88</v>
      </c>
    </row>
    <row r="371" spans="2:6" x14ac:dyDescent="0.25">
      <c r="B371" s="106" t="s">
        <v>1378</v>
      </c>
      <c r="C371" s="106" t="s">
        <v>281</v>
      </c>
      <c r="D371" s="106" t="s">
        <v>1418</v>
      </c>
      <c r="E371" s="87" t="s">
        <v>1419</v>
      </c>
      <c r="F371" s="90">
        <v>0.27</v>
      </c>
    </row>
    <row r="372" spans="2:6" x14ac:dyDescent="0.25">
      <c r="B372" s="106" t="s">
        <v>1378</v>
      </c>
      <c r="C372" s="106" t="s">
        <v>281</v>
      </c>
      <c r="D372" s="106" t="s">
        <v>1418</v>
      </c>
      <c r="E372" s="64" t="s">
        <v>1420</v>
      </c>
      <c r="F372" s="90">
        <v>0.5</v>
      </c>
    </row>
    <row r="373" spans="2:6" x14ac:dyDescent="0.25">
      <c r="B373" s="87" t="s">
        <v>898</v>
      </c>
      <c r="C373" s="95" t="s">
        <v>877</v>
      </c>
      <c r="D373" s="14" t="s">
        <v>658</v>
      </c>
      <c r="E373" s="87" t="s">
        <v>902</v>
      </c>
      <c r="F373" s="90">
        <v>5.75</v>
      </c>
    </row>
    <row r="374" spans="2:6" x14ac:dyDescent="0.25">
      <c r="B374" s="106" t="s">
        <v>1378</v>
      </c>
      <c r="C374" s="106" t="s">
        <v>1421</v>
      </c>
      <c r="D374" s="106">
        <v>20</v>
      </c>
      <c r="E374" s="64" t="s">
        <v>1422</v>
      </c>
      <c r="F374" s="90">
        <v>1.45</v>
      </c>
    </row>
    <row r="375" spans="2:6" x14ac:dyDescent="0.25">
      <c r="B375" s="106" t="s">
        <v>1217</v>
      </c>
      <c r="C375" s="106" t="s">
        <v>216</v>
      </c>
      <c r="D375" s="106">
        <v>120</v>
      </c>
      <c r="E375" s="64" t="s">
        <v>1423</v>
      </c>
      <c r="F375" s="90">
        <v>0.62</v>
      </c>
    </row>
    <row r="376" spans="2:6" x14ac:dyDescent="0.25">
      <c r="B376" s="87" t="s">
        <v>898</v>
      </c>
      <c r="C376" s="104" t="s">
        <v>871</v>
      </c>
      <c r="D376" s="123">
        <v>13</v>
      </c>
      <c r="E376" s="147" t="s">
        <v>903</v>
      </c>
      <c r="F376" s="121">
        <v>9.2910000000000004</v>
      </c>
    </row>
    <row r="377" spans="2:6" x14ac:dyDescent="0.25">
      <c r="B377" s="87" t="s">
        <v>898</v>
      </c>
      <c r="C377" s="104" t="s">
        <v>871</v>
      </c>
      <c r="D377" s="123">
        <v>22</v>
      </c>
      <c r="E377" s="147" t="s">
        <v>1020</v>
      </c>
      <c r="F377" s="121">
        <v>10.366</v>
      </c>
    </row>
    <row r="378" spans="2:6" x14ac:dyDescent="0.25">
      <c r="B378" s="87" t="s">
        <v>898</v>
      </c>
      <c r="C378" s="74" t="s">
        <v>215</v>
      </c>
      <c r="D378" s="14">
        <v>12</v>
      </c>
      <c r="E378" s="48" t="s">
        <v>951</v>
      </c>
      <c r="F378" s="93">
        <v>1.35</v>
      </c>
    </row>
    <row r="379" spans="2:6" x14ac:dyDescent="0.25">
      <c r="B379" s="87" t="s">
        <v>898</v>
      </c>
      <c r="C379" s="102" t="s">
        <v>215</v>
      </c>
      <c r="D379" s="102">
        <v>30</v>
      </c>
      <c r="E379" s="146" t="s">
        <v>948</v>
      </c>
      <c r="F379" s="103">
        <v>16.64</v>
      </c>
    </row>
    <row r="380" spans="2:6" x14ac:dyDescent="0.25">
      <c r="B380" s="87" t="s">
        <v>898</v>
      </c>
      <c r="C380" s="95" t="s">
        <v>215</v>
      </c>
      <c r="D380" s="14" t="s">
        <v>242</v>
      </c>
      <c r="E380" s="197" t="s">
        <v>901</v>
      </c>
      <c r="F380" s="75">
        <v>3.73</v>
      </c>
    </row>
    <row r="381" spans="2:6" x14ac:dyDescent="0.25">
      <c r="B381" s="87" t="s">
        <v>898</v>
      </c>
      <c r="C381" s="95" t="s">
        <v>215</v>
      </c>
      <c r="D381" s="14" t="s">
        <v>245</v>
      </c>
      <c r="E381" s="197" t="s">
        <v>946</v>
      </c>
      <c r="F381" s="75">
        <v>2.25</v>
      </c>
    </row>
    <row r="382" spans="2:6" x14ac:dyDescent="0.25">
      <c r="B382" s="87" t="s">
        <v>898</v>
      </c>
      <c r="C382" s="95" t="s">
        <v>215</v>
      </c>
      <c r="D382" s="14" t="s">
        <v>154</v>
      </c>
      <c r="E382" s="197" t="s">
        <v>947</v>
      </c>
      <c r="F382" s="75">
        <v>36.340000000000003</v>
      </c>
    </row>
    <row r="383" spans="2:6" x14ac:dyDescent="0.25">
      <c r="B383" s="87" t="s">
        <v>898</v>
      </c>
      <c r="C383" s="95" t="s">
        <v>215</v>
      </c>
      <c r="D383" s="14" t="s">
        <v>239</v>
      </c>
      <c r="E383" s="197" t="s">
        <v>901</v>
      </c>
      <c r="F383" s="75">
        <v>5.08</v>
      </c>
    </row>
    <row r="384" spans="2:6" x14ac:dyDescent="0.25">
      <c r="B384" s="87" t="s">
        <v>898</v>
      </c>
      <c r="C384" s="95" t="s">
        <v>713</v>
      </c>
      <c r="D384" s="14" t="s">
        <v>242</v>
      </c>
      <c r="E384" s="88" t="s">
        <v>901</v>
      </c>
      <c r="F384" s="90">
        <v>9.2100000000000009</v>
      </c>
    </row>
    <row r="385" spans="2:6" x14ac:dyDescent="0.25">
      <c r="B385" s="87" t="s">
        <v>1112</v>
      </c>
      <c r="C385" s="196" t="s">
        <v>713</v>
      </c>
      <c r="D385" s="65" t="s">
        <v>777</v>
      </c>
      <c r="E385" s="197" t="s">
        <v>1110</v>
      </c>
      <c r="F385" s="196">
        <v>4.38</v>
      </c>
    </row>
    <row r="386" spans="2:6" x14ac:dyDescent="0.25">
      <c r="B386" s="87" t="s">
        <v>898</v>
      </c>
      <c r="C386" s="95" t="s">
        <v>713</v>
      </c>
      <c r="D386" s="14" t="s">
        <v>184</v>
      </c>
      <c r="E386" s="88" t="s">
        <v>901</v>
      </c>
      <c r="F386" s="90">
        <v>6.4</v>
      </c>
    </row>
    <row r="387" spans="2:6" x14ac:dyDescent="0.25">
      <c r="B387" s="87" t="s">
        <v>898</v>
      </c>
      <c r="C387" s="95" t="s">
        <v>713</v>
      </c>
      <c r="D387" s="14" t="s">
        <v>655</v>
      </c>
      <c r="E387" s="87" t="s">
        <v>949</v>
      </c>
      <c r="F387" s="90">
        <v>3.85</v>
      </c>
    </row>
    <row r="388" spans="2:6" x14ac:dyDescent="0.25">
      <c r="B388" s="87" t="s">
        <v>1112</v>
      </c>
      <c r="C388" s="196" t="s">
        <v>713</v>
      </c>
      <c r="D388" s="65" t="s">
        <v>655</v>
      </c>
      <c r="E388" s="197" t="s">
        <v>1114</v>
      </c>
      <c r="F388" s="196">
        <v>1.77</v>
      </c>
    </row>
    <row r="389" spans="2:6" x14ac:dyDescent="0.25">
      <c r="B389" s="87" t="s">
        <v>1112</v>
      </c>
      <c r="C389" s="196" t="s">
        <v>713</v>
      </c>
      <c r="D389" s="65" t="s">
        <v>240</v>
      </c>
      <c r="E389" s="197" t="s">
        <v>901</v>
      </c>
      <c r="F389" s="196">
        <v>4.28</v>
      </c>
    </row>
    <row r="390" spans="2:6" x14ac:dyDescent="0.25">
      <c r="B390" s="87" t="s">
        <v>898</v>
      </c>
      <c r="C390" s="95" t="s">
        <v>713</v>
      </c>
      <c r="D390" s="14" t="s">
        <v>657</v>
      </c>
      <c r="E390" s="87" t="s">
        <v>950</v>
      </c>
      <c r="F390" s="90">
        <v>4.99</v>
      </c>
    </row>
    <row r="391" spans="2:6" x14ac:dyDescent="0.25">
      <c r="B391" s="87" t="s">
        <v>1112</v>
      </c>
      <c r="C391" s="196" t="s">
        <v>713</v>
      </c>
      <c r="D391" s="65" t="s">
        <v>657</v>
      </c>
      <c r="E391" s="197" t="s">
        <v>1113</v>
      </c>
      <c r="F391" s="196">
        <v>1.42</v>
      </c>
    </row>
    <row r="392" spans="2:6" x14ac:dyDescent="0.25">
      <c r="B392" s="87" t="s">
        <v>1112</v>
      </c>
      <c r="C392" s="196" t="s">
        <v>713</v>
      </c>
      <c r="D392" s="65" t="s">
        <v>239</v>
      </c>
      <c r="E392" s="197" t="s">
        <v>901</v>
      </c>
      <c r="F392" s="196">
        <v>5.67</v>
      </c>
    </row>
    <row r="393" spans="2:6" x14ac:dyDescent="0.25">
      <c r="B393" s="87" t="s">
        <v>898</v>
      </c>
      <c r="C393" s="95" t="s">
        <v>220</v>
      </c>
      <c r="D393" s="14" t="s">
        <v>659</v>
      </c>
      <c r="E393" s="87" t="s">
        <v>913</v>
      </c>
      <c r="F393" s="90">
        <v>1.0900000000000001</v>
      </c>
    </row>
    <row r="394" spans="2:6" x14ac:dyDescent="0.25">
      <c r="B394" s="106" t="s">
        <v>1217</v>
      </c>
      <c r="C394" s="106" t="s">
        <v>862</v>
      </c>
      <c r="D394" s="106">
        <v>130</v>
      </c>
      <c r="E394" s="64" t="s">
        <v>1424</v>
      </c>
      <c r="F394" s="90">
        <v>0.52</v>
      </c>
    </row>
    <row r="395" spans="2:6" x14ac:dyDescent="0.25">
      <c r="B395" s="106" t="s">
        <v>1217</v>
      </c>
      <c r="C395" s="106" t="s">
        <v>862</v>
      </c>
      <c r="D395" s="106">
        <v>140</v>
      </c>
      <c r="E395" s="64" t="s">
        <v>1425</v>
      </c>
      <c r="F395" s="90">
        <v>8.2100000000000009</v>
      </c>
    </row>
    <row r="396" spans="2:6" x14ac:dyDescent="0.25">
      <c r="B396" s="106" t="s">
        <v>1217</v>
      </c>
      <c r="C396" s="106" t="s">
        <v>862</v>
      </c>
      <c r="D396" s="106">
        <v>155</v>
      </c>
      <c r="E396" s="64" t="s">
        <v>1426</v>
      </c>
      <c r="F396" s="90">
        <v>6.44</v>
      </c>
    </row>
    <row r="397" spans="2:6" x14ac:dyDescent="0.25">
      <c r="B397" s="87" t="s">
        <v>898</v>
      </c>
      <c r="C397" s="74" t="s">
        <v>862</v>
      </c>
      <c r="D397" s="14" t="s">
        <v>777</v>
      </c>
      <c r="E397" s="48" t="s">
        <v>951</v>
      </c>
      <c r="F397" s="96">
        <v>2.85</v>
      </c>
    </row>
    <row r="398" spans="2:6" x14ac:dyDescent="0.25">
      <c r="B398" s="87" t="s">
        <v>898</v>
      </c>
      <c r="C398" s="74" t="s">
        <v>862</v>
      </c>
      <c r="D398" s="14" t="s">
        <v>184</v>
      </c>
      <c r="E398" s="48" t="s">
        <v>934</v>
      </c>
      <c r="F398" s="96">
        <v>1.2</v>
      </c>
    </row>
    <row r="399" spans="2:6" x14ac:dyDescent="0.25">
      <c r="B399" s="106" t="s">
        <v>898</v>
      </c>
      <c r="C399" s="106" t="s">
        <v>221</v>
      </c>
      <c r="D399" s="106">
        <v>8</v>
      </c>
      <c r="E399" s="87" t="s">
        <v>1427</v>
      </c>
      <c r="F399" s="90">
        <v>7.46</v>
      </c>
    </row>
    <row r="400" spans="2:6" x14ac:dyDescent="0.25">
      <c r="B400" s="87" t="s">
        <v>898</v>
      </c>
      <c r="C400" s="104" t="s">
        <v>872</v>
      </c>
      <c r="D400" s="14" t="s">
        <v>184</v>
      </c>
      <c r="E400" s="149" t="s">
        <v>1004</v>
      </c>
      <c r="F400" s="105">
        <v>2.82</v>
      </c>
    </row>
    <row r="401" spans="2:6" x14ac:dyDescent="0.25">
      <c r="B401" s="106" t="s">
        <v>1391</v>
      </c>
      <c r="C401" s="106" t="s">
        <v>1428</v>
      </c>
      <c r="D401" s="106">
        <v>7.5</v>
      </c>
      <c r="E401" s="87" t="s">
        <v>1429</v>
      </c>
      <c r="F401" s="90">
        <v>2.016</v>
      </c>
    </row>
    <row r="402" spans="2:6" x14ac:dyDescent="0.25">
      <c r="B402" s="106" t="s">
        <v>1391</v>
      </c>
      <c r="C402" s="106" t="s">
        <v>1428</v>
      </c>
      <c r="D402" s="106">
        <v>8</v>
      </c>
      <c r="E402" s="87" t="s">
        <v>1430</v>
      </c>
      <c r="F402" s="90">
        <v>2.92</v>
      </c>
    </row>
    <row r="403" spans="2:6" x14ac:dyDescent="0.25">
      <c r="B403" s="87" t="s">
        <v>898</v>
      </c>
      <c r="C403" s="197" t="s">
        <v>697</v>
      </c>
      <c r="D403" s="14" t="s">
        <v>239</v>
      </c>
      <c r="E403" s="197" t="s">
        <v>1003</v>
      </c>
      <c r="F403" s="77">
        <v>1.5</v>
      </c>
    </row>
    <row r="404" spans="2:6" x14ac:dyDescent="0.25">
      <c r="B404" s="106" t="s">
        <v>898</v>
      </c>
      <c r="C404" s="106" t="s">
        <v>1431</v>
      </c>
      <c r="D404" s="106">
        <v>20</v>
      </c>
      <c r="E404" s="64" t="s">
        <v>1432</v>
      </c>
      <c r="F404" s="90">
        <v>50.629999999999988</v>
      </c>
    </row>
    <row r="405" spans="2:6" x14ac:dyDescent="0.25">
      <c r="B405" s="87" t="s">
        <v>898</v>
      </c>
      <c r="C405" s="95" t="s">
        <v>878</v>
      </c>
      <c r="D405" s="14" t="s">
        <v>994</v>
      </c>
      <c r="E405" s="87" t="s">
        <v>952</v>
      </c>
      <c r="F405" s="90">
        <v>1.6</v>
      </c>
    </row>
    <row r="406" spans="2:6" x14ac:dyDescent="0.2">
      <c r="B406" s="87" t="s">
        <v>975</v>
      </c>
      <c r="C406" s="87" t="s">
        <v>893</v>
      </c>
      <c r="D406" s="14" t="s">
        <v>992</v>
      </c>
      <c r="E406" s="88" t="s">
        <v>976</v>
      </c>
      <c r="F406" s="89">
        <v>1.04</v>
      </c>
    </row>
    <row r="407" spans="2:6" x14ac:dyDescent="0.2">
      <c r="B407" s="87" t="s">
        <v>977</v>
      </c>
      <c r="C407" s="87" t="s">
        <v>855</v>
      </c>
      <c r="D407" s="14" t="s">
        <v>242</v>
      </c>
      <c r="E407" s="88" t="s">
        <v>901</v>
      </c>
      <c r="F407" s="89"/>
    </row>
    <row r="408" spans="2:6" x14ac:dyDescent="0.25">
      <c r="B408" s="87" t="s">
        <v>898</v>
      </c>
      <c r="C408" s="87" t="s">
        <v>1104</v>
      </c>
      <c r="D408" s="14" t="s">
        <v>777</v>
      </c>
      <c r="E408" s="88" t="s">
        <v>901</v>
      </c>
      <c r="F408" s="96">
        <v>24.98</v>
      </c>
    </row>
    <row r="409" spans="2:6" ht="25.5" x14ac:dyDescent="0.25">
      <c r="B409" s="87" t="s">
        <v>898</v>
      </c>
      <c r="C409" s="87" t="s">
        <v>857</v>
      </c>
      <c r="D409" s="14" t="s">
        <v>154</v>
      </c>
      <c r="E409" s="87" t="s">
        <v>901</v>
      </c>
      <c r="F409" s="92">
        <v>9.98</v>
      </c>
    </row>
    <row r="410" spans="2:6" ht="25.5" x14ac:dyDescent="0.25">
      <c r="B410" s="87" t="s">
        <v>898</v>
      </c>
      <c r="C410" s="87" t="s">
        <v>857</v>
      </c>
      <c r="D410" s="14" t="s">
        <v>655</v>
      </c>
      <c r="E410" s="197" t="s">
        <v>997</v>
      </c>
      <c r="F410" s="93">
        <v>5.22</v>
      </c>
    </row>
    <row r="411" spans="2:6" x14ac:dyDescent="0.25">
      <c r="B411" s="87" t="s">
        <v>898</v>
      </c>
      <c r="C411" s="87" t="s">
        <v>856</v>
      </c>
      <c r="D411" s="14" t="s">
        <v>242</v>
      </c>
      <c r="E411" s="88" t="s">
        <v>901</v>
      </c>
      <c r="F411" s="91">
        <v>27.18</v>
      </c>
    </row>
    <row r="412" spans="2:6" x14ac:dyDescent="0.2">
      <c r="B412" s="87" t="s">
        <v>986</v>
      </c>
      <c r="C412" s="87" t="s">
        <v>854</v>
      </c>
      <c r="D412" s="14" t="s">
        <v>238</v>
      </c>
      <c r="E412" s="88" t="s">
        <v>901</v>
      </c>
      <c r="F412" s="89">
        <v>1.75</v>
      </c>
    </row>
    <row r="413" spans="2:6" x14ac:dyDescent="0.25">
      <c r="B413" s="87" t="s">
        <v>898</v>
      </c>
      <c r="C413" s="87" t="s">
        <v>1101</v>
      </c>
      <c r="D413" s="14" t="s">
        <v>180</v>
      </c>
      <c r="E413" s="88" t="s">
        <v>951</v>
      </c>
      <c r="F413" s="193">
        <v>1.42</v>
      </c>
    </row>
    <row r="414" spans="2:6" x14ac:dyDescent="0.25">
      <c r="B414" s="87" t="s">
        <v>898</v>
      </c>
      <c r="C414" s="87" t="s">
        <v>1101</v>
      </c>
      <c r="D414" s="14" t="s">
        <v>239</v>
      </c>
      <c r="E414" s="150" t="s">
        <v>1102</v>
      </c>
      <c r="F414" s="91">
        <v>0.71</v>
      </c>
    </row>
    <row r="415" spans="2:6" x14ac:dyDescent="0.25">
      <c r="B415" s="106" t="s">
        <v>898</v>
      </c>
      <c r="C415" s="106" t="s">
        <v>1436</v>
      </c>
      <c r="D415" s="106">
        <v>22</v>
      </c>
      <c r="E415" s="64" t="s">
        <v>1437</v>
      </c>
      <c r="F415" s="90">
        <v>8.9700000000000006</v>
      </c>
    </row>
    <row r="416" spans="2:6" x14ac:dyDescent="0.25">
      <c r="B416" s="106" t="s">
        <v>898</v>
      </c>
      <c r="C416" s="106" t="s">
        <v>1436</v>
      </c>
      <c r="D416" s="106">
        <v>24</v>
      </c>
      <c r="E416" s="64" t="s">
        <v>1438</v>
      </c>
      <c r="F416" s="90">
        <v>1.5</v>
      </c>
    </row>
    <row r="417" spans="2:6" x14ac:dyDescent="0.25">
      <c r="B417" s="106" t="s">
        <v>898</v>
      </c>
      <c r="C417" s="106" t="s">
        <v>1436</v>
      </c>
      <c r="D417" s="106">
        <v>30</v>
      </c>
      <c r="E417" s="64" t="s">
        <v>1439</v>
      </c>
      <c r="F417" s="90">
        <v>0.85</v>
      </c>
    </row>
    <row r="418" spans="2:6" x14ac:dyDescent="0.25">
      <c r="B418" s="106" t="s">
        <v>898</v>
      </c>
      <c r="C418" s="106" t="s">
        <v>1440</v>
      </c>
      <c r="D418" s="106">
        <v>90</v>
      </c>
      <c r="E418" s="64" t="s">
        <v>1441</v>
      </c>
      <c r="F418" s="90">
        <v>2.48</v>
      </c>
    </row>
    <row r="419" spans="2:6" x14ac:dyDescent="0.25">
      <c r="B419" s="106" t="s">
        <v>1217</v>
      </c>
      <c r="C419" s="106" t="s">
        <v>1442</v>
      </c>
      <c r="D419" s="106" t="s">
        <v>1340</v>
      </c>
      <c r="E419" s="64" t="s">
        <v>1443</v>
      </c>
      <c r="F419" s="90">
        <v>2.2599999999999998</v>
      </c>
    </row>
    <row r="420" spans="2:6" x14ac:dyDescent="0.25">
      <c r="B420" s="106" t="s">
        <v>898</v>
      </c>
      <c r="C420" s="106" t="s">
        <v>1444</v>
      </c>
      <c r="D420" s="106">
        <v>85</v>
      </c>
      <c r="E420" s="64" t="s">
        <v>1445</v>
      </c>
      <c r="F420" s="90">
        <v>0.315</v>
      </c>
    </row>
    <row r="421" spans="2:6" x14ac:dyDescent="0.25">
      <c r="B421" s="97" t="s">
        <v>898</v>
      </c>
      <c r="C421" s="97" t="s">
        <v>212</v>
      </c>
      <c r="D421" s="97">
        <v>12</v>
      </c>
      <c r="E421" s="42" t="s">
        <v>1071</v>
      </c>
      <c r="F421" s="129">
        <v>0.71</v>
      </c>
    </row>
    <row r="422" spans="2:6" x14ac:dyDescent="0.2">
      <c r="B422" s="134" t="s">
        <v>898</v>
      </c>
      <c r="C422" s="30" t="s">
        <v>212</v>
      </c>
      <c r="D422" s="30">
        <v>12</v>
      </c>
      <c r="E422" s="197" t="s">
        <v>1071</v>
      </c>
      <c r="F422" s="133">
        <v>0.71</v>
      </c>
    </row>
    <row r="423" spans="2:6" x14ac:dyDescent="0.25">
      <c r="B423" s="106" t="s">
        <v>898</v>
      </c>
      <c r="C423" s="106" t="s">
        <v>212</v>
      </c>
      <c r="D423" s="106">
        <v>12</v>
      </c>
      <c r="E423" s="87" t="s">
        <v>1446</v>
      </c>
      <c r="F423" s="90">
        <v>3.8900000000000006</v>
      </c>
    </row>
    <row r="424" spans="2:6" x14ac:dyDescent="0.25">
      <c r="B424" s="97" t="s">
        <v>898</v>
      </c>
      <c r="C424" s="97" t="s">
        <v>212</v>
      </c>
      <c r="D424" s="97">
        <v>16</v>
      </c>
      <c r="E424" s="42" t="s">
        <v>907</v>
      </c>
      <c r="F424" s="129">
        <v>1.05</v>
      </c>
    </row>
    <row r="425" spans="2:6" x14ac:dyDescent="0.25">
      <c r="B425" s="87" t="s">
        <v>898</v>
      </c>
      <c r="C425" s="95" t="s">
        <v>311</v>
      </c>
      <c r="D425" s="14" t="s">
        <v>280</v>
      </c>
      <c r="E425" s="197" t="s">
        <v>902</v>
      </c>
      <c r="F425" s="75">
        <v>3.43</v>
      </c>
    </row>
    <row r="426" spans="2:6" x14ac:dyDescent="0.25">
      <c r="B426" s="87" t="s">
        <v>898</v>
      </c>
      <c r="C426" s="95" t="s">
        <v>311</v>
      </c>
      <c r="D426" s="14" t="s">
        <v>993</v>
      </c>
      <c r="E426" s="88" t="s">
        <v>901</v>
      </c>
      <c r="F426" s="75">
        <v>3.15</v>
      </c>
    </row>
    <row r="427" spans="2:6" x14ac:dyDescent="0.25">
      <c r="B427" s="87" t="s">
        <v>898</v>
      </c>
      <c r="C427" s="95" t="s">
        <v>311</v>
      </c>
      <c r="D427" s="14" t="s">
        <v>238</v>
      </c>
      <c r="E427" s="88" t="s">
        <v>901</v>
      </c>
      <c r="F427" s="75">
        <v>0.54</v>
      </c>
    </row>
    <row r="428" spans="2:6" x14ac:dyDescent="0.25">
      <c r="B428" s="87" t="s">
        <v>898</v>
      </c>
      <c r="C428" s="95" t="s">
        <v>311</v>
      </c>
      <c r="D428" s="14" t="s">
        <v>239</v>
      </c>
      <c r="E428" s="197" t="s">
        <v>953</v>
      </c>
      <c r="F428" s="75">
        <v>0.32</v>
      </c>
    </row>
    <row r="429" spans="2:6" x14ac:dyDescent="0.25">
      <c r="B429" s="87" t="s">
        <v>898</v>
      </c>
      <c r="C429" s="95" t="s">
        <v>1530</v>
      </c>
      <c r="D429" s="14" t="s">
        <v>53</v>
      </c>
      <c r="E429" s="78" t="s">
        <v>954</v>
      </c>
      <c r="F429" s="75">
        <v>3.5510000000000002</v>
      </c>
    </row>
    <row r="430" spans="2:6" x14ac:dyDescent="0.25">
      <c r="B430" s="87" t="s">
        <v>898</v>
      </c>
      <c r="C430" s="95" t="s">
        <v>1530</v>
      </c>
      <c r="D430" s="14" t="s">
        <v>53</v>
      </c>
      <c r="E430" s="197" t="s">
        <v>1001</v>
      </c>
      <c r="F430" s="75">
        <v>2.11</v>
      </c>
    </row>
    <row r="431" spans="2:6" x14ac:dyDescent="0.25">
      <c r="B431" s="106" t="s">
        <v>1217</v>
      </c>
      <c r="C431" s="106" t="s">
        <v>1447</v>
      </c>
      <c r="D431" s="106">
        <v>180</v>
      </c>
      <c r="E431" s="195" t="s">
        <v>1448</v>
      </c>
      <c r="F431" s="90">
        <v>1.1399999999999999</v>
      </c>
    </row>
    <row r="432" spans="2:6" x14ac:dyDescent="0.25">
      <c r="B432" s="106" t="s">
        <v>1217</v>
      </c>
      <c r="C432" s="106" t="s">
        <v>1449</v>
      </c>
      <c r="D432" s="112">
        <v>100</v>
      </c>
      <c r="E432" s="195" t="s">
        <v>1450</v>
      </c>
      <c r="F432" s="90">
        <v>1.88</v>
      </c>
    </row>
    <row r="433" spans="2:6" x14ac:dyDescent="0.25">
      <c r="B433" s="106" t="s">
        <v>1217</v>
      </c>
      <c r="C433" s="106" t="s">
        <v>1449</v>
      </c>
      <c r="D433" s="112">
        <v>100</v>
      </c>
      <c r="E433" s="195" t="s">
        <v>1451</v>
      </c>
      <c r="F433" s="90">
        <v>2.0099999999999998</v>
      </c>
    </row>
    <row r="434" spans="2:6" x14ac:dyDescent="0.25">
      <c r="B434" s="106" t="s">
        <v>898</v>
      </c>
      <c r="C434" s="106" t="s">
        <v>746</v>
      </c>
      <c r="D434" s="106">
        <v>60</v>
      </c>
      <c r="E434" s="195" t="s">
        <v>1452</v>
      </c>
      <c r="F434" s="90">
        <v>9.6999999999999993</v>
      </c>
    </row>
    <row r="435" spans="2:6" x14ac:dyDescent="0.25">
      <c r="B435" s="106" t="s">
        <v>898</v>
      </c>
      <c r="C435" s="106" t="s">
        <v>746</v>
      </c>
      <c r="D435" s="106">
        <v>90</v>
      </c>
      <c r="E435" s="195" t="s">
        <v>1455</v>
      </c>
      <c r="F435" s="90">
        <v>1.96</v>
      </c>
    </row>
    <row r="436" spans="2:6" x14ac:dyDescent="0.25">
      <c r="B436" s="106" t="s">
        <v>898</v>
      </c>
      <c r="C436" s="106" t="s">
        <v>746</v>
      </c>
      <c r="D436" s="106" t="s">
        <v>1453</v>
      </c>
      <c r="E436" s="195" t="s">
        <v>1454</v>
      </c>
      <c r="F436" s="90">
        <v>3.15</v>
      </c>
    </row>
    <row r="437" spans="2:6" x14ac:dyDescent="0.25">
      <c r="B437" s="106" t="s">
        <v>1217</v>
      </c>
      <c r="C437" s="106" t="s">
        <v>689</v>
      </c>
      <c r="D437" s="106">
        <v>130</v>
      </c>
      <c r="E437" s="195" t="s">
        <v>1456</v>
      </c>
      <c r="F437" s="90">
        <v>1.68</v>
      </c>
    </row>
    <row r="438" spans="2:6" x14ac:dyDescent="0.25">
      <c r="B438" s="106" t="s">
        <v>898</v>
      </c>
      <c r="C438" s="106" t="s">
        <v>1460</v>
      </c>
      <c r="D438" s="106">
        <v>75</v>
      </c>
      <c r="E438" s="195" t="s">
        <v>1461</v>
      </c>
      <c r="F438" s="90">
        <v>0.255</v>
      </c>
    </row>
    <row r="439" spans="2:6" x14ac:dyDescent="0.2">
      <c r="B439" s="134" t="s">
        <v>898</v>
      </c>
      <c r="C439" s="32" t="s">
        <v>1093</v>
      </c>
      <c r="D439" s="163">
        <v>80</v>
      </c>
      <c r="E439" s="51" t="s">
        <v>955</v>
      </c>
      <c r="F439" s="32">
        <v>1.26</v>
      </c>
    </row>
    <row r="440" spans="2:6" x14ac:dyDescent="0.25">
      <c r="B440" s="106" t="s">
        <v>1217</v>
      </c>
      <c r="C440" s="106" t="s">
        <v>1462</v>
      </c>
      <c r="D440" s="106">
        <v>200</v>
      </c>
      <c r="E440" s="195" t="s">
        <v>1463</v>
      </c>
      <c r="F440" s="90">
        <v>2.1800000000000002</v>
      </c>
    </row>
    <row r="441" spans="2:6" x14ac:dyDescent="0.25">
      <c r="B441" s="106" t="s">
        <v>898</v>
      </c>
      <c r="C441" s="112" t="s">
        <v>217</v>
      </c>
      <c r="D441" s="112">
        <v>40</v>
      </c>
      <c r="E441" s="63" t="s">
        <v>1464</v>
      </c>
      <c r="F441" s="194">
        <v>6.01</v>
      </c>
    </row>
    <row r="442" spans="2:6" x14ac:dyDescent="0.25">
      <c r="B442" s="106" t="s">
        <v>898</v>
      </c>
      <c r="C442" s="112" t="s">
        <v>217</v>
      </c>
      <c r="D442" s="112">
        <v>40</v>
      </c>
      <c r="E442" s="63" t="s">
        <v>1519</v>
      </c>
      <c r="F442" s="194"/>
    </row>
    <row r="443" spans="2:6" x14ac:dyDescent="0.25">
      <c r="B443" s="106" t="s">
        <v>898</v>
      </c>
      <c r="C443" s="112" t="s">
        <v>217</v>
      </c>
      <c r="D443" s="112">
        <v>50</v>
      </c>
      <c r="E443" s="63" t="s">
        <v>901</v>
      </c>
      <c r="F443" s="194">
        <v>3.7</v>
      </c>
    </row>
    <row r="444" spans="2:6" x14ac:dyDescent="0.25">
      <c r="B444" s="106" t="s">
        <v>898</v>
      </c>
      <c r="C444" s="106" t="s">
        <v>217</v>
      </c>
      <c r="D444" s="106">
        <v>50</v>
      </c>
      <c r="E444" s="195" t="s">
        <v>1465</v>
      </c>
      <c r="F444" s="90">
        <v>5.68</v>
      </c>
    </row>
    <row r="445" spans="2:6" x14ac:dyDescent="0.25">
      <c r="B445" s="106" t="s">
        <v>898</v>
      </c>
      <c r="C445" s="106" t="s">
        <v>217</v>
      </c>
      <c r="D445" s="106">
        <v>55</v>
      </c>
      <c r="E445" s="195" t="s">
        <v>1466</v>
      </c>
      <c r="F445" s="90">
        <v>2.19</v>
      </c>
    </row>
    <row r="446" spans="2:6" x14ac:dyDescent="0.25">
      <c r="B446" s="106" t="s">
        <v>898</v>
      </c>
      <c r="C446" s="112" t="s">
        <v>217</v>
      </c>
      <c r="D446" s="112">
        <v>60</v>
      </c>
      <c r="E446" s="51" t="s">
        <v>901</v>
      </c>
      <c r="F446" s="194">
        <v>4.51</v>
      </c>
    </row>
    <row r="447" spans="2:6" x14ac:dyDescent="0.25">
      <c r="B447" s="106" t="s">
        <v>898</v>
      </c>
      <c r="C447" s="106" t="s">
        <v>217</v>
      </c>
      <c r="D447" s="106">
        <v>60</v>
      </c>
      <c r="E447" s="87" t="s">
        <v>1406</v>
      </c>
      <c r="F447" s="90">
        <v>12.11</v>
      </c>
    </row>
    <row r="448" spans="2:6" x14ac:dyDescent="0.25">
      <c r="B448" s="144" t="s">
        <v>898</v>
      </c>
      <c r="C448" s="144" t="s">
        <v>217</v>
      </c>
      <c r="D448" s="144">
        <v>60</v>
      </c>
      <c r="E448" s="152" t="s">
        <v>1467</v>
      </c>
      <c r="F448" s="138">
        <v>2.95</v>
      </c>
    </row>
    <row r="449" spans="2:6" x14ac:dyDescent="0.25">
      <c r="B449" s="106" t="s">
        <v>898</v>
      </c>
      <c r="C449" s="106" t="s">
        <v>217</v>
      </c>
      <c r="D449" s="106">
        <v>60</v>
      </c>
      <c r="E449" s="64" t="s">
        <v>1468</v>
      </c>
      <c r="F449" s="90">
        <v>2.1800000000000002</v>
      </c>
    </row>
    <row r="450" spans="2:6" x14ac:dyDescent="0.25">
      <c r="B450" s="106" t="s">
        <v>898</v>
      </c>
      <c r="C450" s="106" t="s">
        <v>217</v>
      </c>
      <c r="D450" s="106">
        <v>70</v>
      </c>
      <c r="E450" s="64" t="s">
        <v>1469</v>
      </c>
      <c r="F450" s="90">
        <v>3.17</v>
      </c>
    </row>
    <row r="451" spans="2:6" x14ac:dyDescent="0.25">
      <c r="B451" s="106" t="s">
        <v>898</v>
      </c>
      <c r="C451" s="106" t="s">
        <v>217</v>
      </c>
      <c r="D451" s="106">
        <v>70</v>
      </c>
      <c r="E451" s="64" t="s">
        <v>1470</v>
      </c>
      <c r="F451" s="90">
        <v>14.18</v>
      </c>
    </row>
    <row r="452" spans="2:6" x14ac:dyDescent="0.25">
      <c r="B452" s="106" t="s">
        <v>898</v>
      </c>
      <c r="C452" s="106" t="s">
        <v>217</v>
      </c>
      <c r="D452" s="106">
        <v>80</v>
      </c>
      <c r="E452" s="64" t="s">
        <v>1471</v>
      </c>
      <c r="F452" s="90">
        <v>2.2200000000000002</v>
      </c>
    </row>
    <row r="453" spans="2:6" x14ac:dyDescent="0.25">
      <c r="B453" s="106" t="s">
        <v>898</v>
      </c>
      <c r="C453" s="106" t="s">
        <v>217</v>
      </c>
      <c r="D453" s="106">
        <v>80</v>
      </c>
      <c r="E453" s="64" t="s">
        <v>1472</v>
      </c>
      <c r="F453" s="90">
        <v>1.34</v>
      </c>
    </row>
    <row r="454" spans="2:6" x14ac:dyDescent="0.25">
      <c r="B454" s="106" t="s">
        <v>898</v>
      </c>
      <c r="C454" s="106" t="s">
        <v>217</v>
      </c>
      <c r="D454" s="106">
        <v>90</v>
      </c>
      <c r="E454" s="64" t="s">
        <v>1473</v>
      </c>
      <c r="F454" s="90">
        <v>2.2400000000000002</v>
      </c>
    </row>
    <row r="455" spans="2:6" x14ac:dyDescent="0.25">
      <c r="B455" s="106" t="s">
        <v>898</v>
      </c>
      <c r="C455" s="106" t="s">
        <v>217</v>
      </c>
      <c r="D455" s="106">
        <v>90</v>
      </c>
      <c r="E455" s="195" t="s">
        <v>1474</v>
      </c>
      <c r="F455" s="90">
        <v>3.24</v>
      </c>
    </row>
    <row r="456" spans="2:6" x14ac:dyDescent="0.25">
      <c r="B456" s="106" t="s">
        <v>898</v>
      </c>
      <c r="C456" s="112" t="s">
        <v>217</v>
      </c>
      <c r="D456" s="112">
        <v>92</v>
      </c>
      <c r="E456" s="63" t="s">
        <v>1475</v>
      </c>
      <c r="F456" s="194">
        <v>4.5599999999999996</v>
      </c>
    </row>
    <row r="457" spans="2:6" x14ac:dyDescent="0.25">
      <c r="B457" s="106" t="s">
        <v>898</v>
      </c>
      <c r="C457" s="112" t="s">
        <v>217</v>
      </c>
      <c r="D457" s="112">
        <v>100</v>
      </c>
      <c r="E457" s="63" t="s">
        <v>901</v>
      </c>
      <c r="F457" s="194">
        <v>7.45</v>
      </c>
    </row>
    <row r="458" spans="2:6" x14ac:dyDescent="0.25">
      <c r="B458" s="106" t="s">
        <v>898</v>
      </c>
      <c r="C458" s="112" t="s">
        <v>217</v>
      </c>
      <c r="D458" s="112">
        <v>100</v>
      </c>
      <c r="E458" s="63" t="s">
        <v>939</v>
      </c>
      <c r="F458" s="194">
        <v>3.73</v>
      </c>
    </row>
    <row r="459" spans="2:6" x14ac:dyDescent="0.25">
      <c r="B459" s="106" t="s">
        <v>898</v>
      </c>
      <c r="C459" s="106" t="s">
        <v>217</v>
      </c>
      <c r="D459" s="106">
        <v>100</v>
      </c>
      <c r="E459" s="195" t="s">
        <v>1477</v>
      </c>
      <c r="F459" s="90">
        <v>0.19</v>
      </c>
    </row>
    <row r="460" spans="2:6" x14ac:dyDescent="0.25">
      <c r="B460" s="106" t="s">
        <v>1217</v>
      </c>
      <c r="C460" s="106" t="s">
        <v>217</v>
      </c>
      <c r="D460" s="106">
        <v>110</v>
      </c>
      <c r="E460" s="151" t="s">
        <v>1478</v>
      </c>
      <c r="F460" s="90">
        <v>1.75</v>
      </c>
    </row>
    <row r="461" spans="2:6" x14ac:dyDescent="0.25">
      <c r="B461" s="106" t="s">
        <v>898</v>
      </c>
      <c r="C461" s="112" t="s">
        <v>217</v>
      </c>
      <c r="D461" s="106">
        <v>120</v>
      </c>
      <c r="E461" s="63" t="s">
        <v>1517</v>
      </c>
      <c r="F461" s="194">
        <v>20.82</v>
      </c>
    </row>
    <row r="462" spans="2:6" x14ac:dyDescent="0.25">
      <c r="B462" s="106" t="s">
        <v>898</v>
      </c>
      <c r="C462" s="112" t="s">
        <v>217</v>
      </c>
      <c r="D462" s="106">
        <v>120</v>
      </c>
      <c r="E462" s="63" t="s">
        <v>1481</v>
      </c>
      <c r="F462" s="194">
        <v>10.029999999999999</v>
      </c>
    </row>
    <row r="463" spans="2:6" x14ac:dyDescent="0.25">
      <c r="B463" s="106" t="s">
        <v>898</v>
      </c>
      <c r="C463" s="112" t="s">
        <v>217</v>
      </c>
      <c r="D463" s="106">
        <v>120</v>
      </c>
      <c r="E463" s="63" t="s">
        <v>1482</v>
      </c>
      <c r="F463" s="194">
        <v>4.72</v>
      </c>
    </row>
    <row r="464" spans="2:6" x14ac:dyDescent="0.25">
      <c r="B464" s="106" t="s">
        <v>898</v>
      </c>
      <c r="C464" s="112" t="s">
        <v>217</v>
      </c>
      <c r="D464" s="106">
        <v>120</v>
      </c>
      <c r="E464" s="63" t="s">
        <v>901</v>
      </c>
      <c r="F464" s="194">
        <v>9.0500000000000007</v>
      </c>
    </row>
    <row r="465" spans="2:6" x14ac:dyDescent="0.25">
      <c r="B465" s="106" t="s">
        <v>898</v>
      </c>
      <c r="C465" s="112" t="s">
        <v>217</v>
      </c>
      <c r="D465" s="106">
        <v>120</v>
      </c>
      <c r="E465" s="63" t="s">
        <v>1483</v>
      </c>
      <c r="F465" s="194"/>
    </row>
    <row r="466" spans="2:6" ht="25.5" x14ac:dyDescent="0.25">
      <c r="B466" s="106" t="s">
        <v>898</v>
      </c>
      <c r="C466" s="106" t="s">
        <v>217</v>
      </c>
      <c r="D466" s="106">
        <v>120</v>
      </c>
      <c r="E466" s="195" t="s">
        <v>1484</v>
      </c>
      <c r="F466" s="90">
        <v>6.45</v>
      </c>
    </row>
    <row r="467" spans="2:6" x14ac:dyDescent="0.25">
      <c r="B467" s="106" t="s">
        <v>898</v>
      </c>
      <c r="C467" s="112" t="s">
        <v>217</v>
      </c>
      <c r="D467" s="112">
        <v>130</v>
      </c>
      <c r="E467" s="63" t="s">
        <v>929</v>
      </c>
      <c r="F467" s="194">
        <v>6.45</v>
      </c>
    </row>
    <row r="468" spans="2:6" x14ac:dyDescent="0.25">
      <c r="B468" s="106" t="s">
        <v>898</v>
      </c>
      <c r="C468" s="112" t="s">
        <v>217</v>
      </c>
      <c r="D468" s="112">
        <v>130</v>
      </c>
      <c r="E468" s="63" t="s">
        <v>906</v>
      </c>
      <c r="F468" s="194">
        <v>9.99</v>
      </c>
    </row>
    <row r="469" spans="2:6" x14ac:dyDescent="0.25">
      <c r="B469" s="106" t="s">
        <v>898</v>
      </c>
      <c r="C469" s="106" t="s">
        <v>217</v>
      </c>
      <c r="D469" s="106">
        <v>140</v>
      </c>
      <c r="E469" s="195" t="s">
        <v>1485</v>
      </c>
      <c r="F469" s="90">
        <v>3.18</v>
      </c>
    </row>
    <row r="470" spans="2:6" x14ac:dyDescent="0.25">
      <c r="B470" s="106" t="s">
        <v>898</v>
      </c>
      <c r="C470" s="112" t="s">
        <v>217</v>
      </c>
      <c r="D470" s="112">
        <v>150</v>
      </c>
      <c r="E470" s="63" t="s">
        <v>1413</v>
      </c>
      <c r="F470" s="194">
        <v>9.3000000000000007</v>
      </c>
    </row>
    <row r="471" spans="2:6" x14ac:dyDescent="0.25">
      <c r="B471" s="106" t="s">
        <v>898</v>
      </c>
      <c r="C471" s="106" t="s">
        <v>217</v>
      </c>
      <c r="D471" s="106">
        <v>160</v>
      </c>
      <c r="E471" s="195" t="s">
        <v>915</v>
      </c>
      <c r="F471" s="90">
        <v>2.58</v>
      </c>
    </row>
    <row r="472" spans="2:6" x14ac:dyDescent="0.25">
      <c r="B472" s="106" t="s">
        <v>898</v>
      </c>
      <c r="C472" s="112" t="s">
        <v>217</v>
      </c>
      <c r="D472" s="106">
        <v>160</v>
      </c>
      <c r="E472" s="63" t="s">
        <v>1486</v>
      </c>
      <c r="F472" s="194">
        <v>9.3000000000000007</v>
      </c>
    </row>
    <row r="473" spans="2:6" x14ac:dyDescent="0.25">
      <c r="B473" s="106" t="s">
        <v>898</v>
      </c>
      <c r="C473" s="106" t="s">
        <v>217</v>
      </c>
      <c r="D473" s="106">
        <v>190</v>
      </c>
      <c r="E473" s="195" t="s">
        <v>1489</v>
      </c>
      <c r="F473" s="90">
        <v>0.16</v>
      </c>
    </row>
    <row r="474" spans="2:6" ht="25.5" x14ac:dyDescent="0.25">
      <c r="B474" s="106" t="s">
        <v>898</v>
      </c>
      <c r="C474" s="106" t="s">
        <v>217</v>
      </c>
      <c r="D474" s="106">
        <v>200</v>
      </c>
      <c r="E474" s="64" t="s">
        <v>1516</v>
      </c>
      <c r="F474" s="90">
        <v>1.74</v>
      </c>
    </row>
    <row r="475" spans="2:6" x14ac:dyDescent="0.25">
      <c r="B475" s="106" t="s">
        <v>898</v>
      </c>
      <c r="C475" s="106" t="s">
        <v>217</v>
      </c>
      <c r="D475" s="106" t="s">
        <v>1476</v>
      </c>
      <c r="E475" s="64" t="s">
        <v>1518</v>
      </c>
      <c r="F475" s="90">
        <v>3.76</v>
      </c>
    </row>
    <row r="476" spans="2:6" x14ac:dyDescent="0.25">
      <c r="B476" s="106" t="s">
        <v>1217</v>
      </c>
      <c r="C476" s="106" t="s">
        <v>217</v>
      </c>
      <c r="D476" s="106" t="s">
        <v>1479</v>
      </c>
      <c r="E476" s="151" t="s">
        <v>1480</v>
      </c>
      <c r="F476" s="90">
        <v>3.5</v>
      </c>
    </row>
    <row r="477" spans="2:6" x14ac:dyDescent="0.25">
      <c r="B477" s="87" t="s">
        <v>898</v>
      </c>
      <c r="C477" s="95" t="s">
        <v>217</v>
      </c>
      <c r="D477" s="14" t="s">
        <v>53</v>
      </c>
      <c r="E477" s="197" t="s">
        <v>902</v>
      </c>
      <c r="F477" s="75">
        <v>2.81</v>
      </c>
    </row>
    <row r="478" spans="2:6" x14ac:dyDescent="0.25">
      <c r="B478" s="106" t="s">
        <v>1217</v>
      </c>
      <c r="C478" s="112" t="s">
        <v>217</v>
      </c>
      <c r="D478" s="106" t="s">
        <v>1487</v>
      </c>
      <c r="E478" s="63" t="s">
        <v>1488</v>
      </c>
      <c r="F478" s="194"/>
    </row>
    <row r="479" spans="2:6" x14ac:dyDescent="0.25">
      <c r="B479" s="87" t="s">
        <v>898</v>
      </c>
      <c r="C479" s="95" t="s">
        <v>1109</v>
      </c>
      <c r="D479" s="14">
        <v>110</v>
      </c>
      <c r="E479" s="197" t="s">
        <v>956</v>
      </c>
      <c r="F479" s="75">
        <v>2.74</v>
      </c>
    </row>
    <row r="480" spans="2:6" x14ac:dyDescent="0.2">
      <c r="B480" s="87" t="s">
        <v>1100</v>
      </c>
      <c r="C480" s="94" t="s">
        <v>413</v>
      </c>
      <c r="D480" s="94">
        <v>4</v>
      </c>
      <c r="E480" s="197" t="s">
        <v>913</v>
      </c>
      <c r="F480" s="133">
        <v>0.128</v>
      </c>
    </row>
    <row r="481" spans="2:6" x14ac:dyDescent="0.25">
      <c r="B481" s="106" t="s">
        <v>1217</v>
      </c>
      <c r="C481" s="106" t="s">
        <v>492</v>
      </c>
      <c r="D481" s="106">
        <v>140</v>
      </c>
      <c r="E481" s="195" t="s">
        <v>1492</v>
      </c>
      <c r="F481" s="90">
        <v>7.08</v>
      </c>
    </row>
    <row r="482" spans="2:6" x14ac:dyDescent="0.25">
      <c r="B482" s="106" t="s">
        <v>1217</v>
      </c>
      <c r="C482" s="106" t="s">
        <v>492</v>
      </c>
      <c r="D482" s="106" t="s">
        <v>1490</v>
      </c>
      <c r="E482" s="195" t="s">
        <v>1491</v>
      </c>
      <c r="F482" s="90">
        <v>7.21</v>
      </c>
    </row>
    <row r="483" spans="2:6" x14ac:dyDescent="0.25">
      <c r="B483" s="106" t="s">
        <v>1217</v>
      </c>
      <c r="C483" s="106" t="s">
        <v>1493</v>
      </c>
      <c r="D483" s="106">
        <v>100</v>
      </c>
      <c r="E483" s="195" t="s">
        <v>1494</v>
      </c>
      <c r="F483" s="90">
        <v>1.1599999999999999</v>
      </c>
    </row>
    <row r="484" spans="2:6" x14ac:dyDescent="0.25">
      <c r="B484" s="106" t="s">
        <v>1217</v>
      </c>
      <c r="C484" s="106" t="s">
        <v>1493</v>
      </c>
      <c r="D484" s="106">
        <v>100</v>
      </c>
      <c r="E484" s="64" t="s">
        <v>1495</v>
      </c>
      <c r="F484" s="90">
        <v>1.22</v>
      </c>
    </row>
    <row r="485" spans="2:6" x14ac:dyDescent="0.25">
      <c r="B485" s="106" t="s">
        <v>1217</v>
      </c>
      <c r="C485" s="106" t="s">
        <v>406</v>
      </c>
      <c r="D485" s="106">
        <v>110</v>
      </c>
      <c r="E485" s="195" t="s">
        <v>1496</v>
      </c>
      <c r="F485" s="90">
        <v>1.22</v>
      </c>
    </row>
    <row r="486" spans="2:6" x14ac:dyDescent="0.25">
      <c r="B486" s="106" t="s">
        <v>1217</v>
      </c>
      <c r="C486" s="106" t="s">
        <v>406</v>
      </c>
      <c r="D486" s="106">
        <v>210</v>
      </c>
      <c r="E486" s="64" t="s">
        <v>1497</v>
      </c>
      <c r="F486" s="90">
        <v>14.85</v>
      </c>
    </row>
    <row r="487" spans="2:6" x14ac:dyDescent="0.25">
      <c r="B487" s="196" t="s">
        <v>898</v>
      </c>
      <c r="C487" s="196" t="s">
        <v>406</v>
      </c>
      <c r="D487" s="65" t="s">
        <v>993</v>
      </c>
      <c r="E487" s="197" t="s">
        <v>1116</v>
      </c>
      <c r="F487" s="196">
        <v>3.31</v>
      </c>
    </row>
    <row r="488" spans="2:6" x14ac:dyDescent="0.25">
      <c r="B488" s="196" t="s">
        <v>898</v>
      </c>
      <c r="C488" s="196" t="s">
        <v>406</v>
      </c>
      <c r="D488" s="65" t="s">
        <v>777</v>
      </c>
      <c r="E488" s="78" t="s">
        <v>1115</v>
      </c>
      <c r="F488" s="196">
        <v>1.25</v>
      </c>
    </row>
    <row r="489" spans="2:6" x14ac:dyDescent="0.2">
      <c r="B489" s="134" t="s">
        <v>898</v>
      </c>
      <c r="C489" s="94" t="s">
        <v>708</v>
      </c>
      <c r="D489" s="94">
        <v>4</v>
      </c>
      <c r="E489" s="197" t="s">
        <v>1088</v>
      </c>
      <c r="F489" s="133">
        <v>1.474</v>
      </c>
    </row>
    <row r="490" spans="2:6" x14ac:dyDescent="0.25">
      <c r="B490" s="106" t="s">
        <v>898</v>
      </c>
      <c r="C490" s="106" t="s">
        <v>708</v>
      </c>
      <c r="D490" s="106">
        <v>130</v>
      </c>
      <c r="E490" s="64" t="s">
        <v>1499</v>
      </c>
      <c r="F490" s="90">
        <v>3.2</v>
      </c>
    </row>
    <row r="491" spans="2:6" x14ac:dyDescent="0.25">
      <c r="B491" s="87" t="s">
        <v>194</v>
      </c>
      <c r="C491" s="95" t="s">
        <v>708</v>
      </c>
      <c r="D491" s="14" t="s">
        <v>852</v>
      </c>
      <c r="E491" s="48" t="s">
        <v>958</v>
      </c>
      <c r="F491" s="96">
        <v>2.35</v>
      </c>
    </row>
    <row r="492" spans="2:6" x14ac:dyDescent="0.25">
      <c r="B492" s="87" t="s">
        <v>194</v>
      </c>
      <c r="C492" s="95" t="s">
        <v>708</v>
      </c>
      <c r="D492" s="14" t="s">
        <v>979</v>
      </c>
      <c r="E492" s="48" t="s">
        <v>958</v>
      </c>
      <c r="F492" s="96">
        <v>5.84</v>
      </c>
    </row>
    <row r="493" spans="2:6" x14ac:dyDescent="0.25">
      <c r="B493" s="87" t="s">
        <v>194</v>
      </c>
      <c r="C493" s="95" t="s">
        <v>708</v>
      </c>
      <c r="D493" s="14" t="s">
        <v>851</v>
      </c>
      <c r="E493" s="48" t="s">
        <v>958</v>
      </c>
      <c r="F493" s="96">
        <v>5.21</v>
      </c>
    </row>
    <row r="494" spans="2:6" x14ac:dyDescent="0.25">
      <c r="B494" s="87" t="s">
        <v>194</v>
      </c>
      <c r="C494" s="95" t="s">
        <v>708</v>
      </c>
      <c r="D494" s="14" t="s">
        <v>247</v>
      </c>
      <c r="E494" s="48" t="s">
        <v>958</v>
      </c>
      <c r="F494" s="96">
        <v>2.84</v>
      </c>
    </row>
    <row r="495" spans="2:6" x14ac:dyDescent="0.25">
      <c r="B495" s="87" t="s">
        <v>898</v>
      </c>
      <c r="C495" s="95" t="s">
        <v>708</v>
      </c>
      <c r="D495" s="14" t="s">
        <v>278</v>
      </c>
      <c r="E495" s="48" t="s">
        <v>911</v>
      </c>
      <c r="F495" s="96">
        <v>10.74</v>
      </c>
    </row>
    <row r="496" spans="2:6" x14ac:dyDescent="0.25">
      <c r="B496" s="87" t="s">
        <v>898</v>
      </c>
      <c r="C496" s="95" t="s">
        <v>708</v>
      </c>
      <c r="D496" s="14" t="s">
        <v>238</v>
      </c>
      <c r="E496" s="197" t="s">
        <v>913</v>
      </c>
      <c r="F496" s="75">
        <v>16.23</v>
      </c>
    </row>
    <row r="497" spans="2:6" x14ac:dyDescent="0.25">
      <c r="B497" s="87" t="s">
        <v>898</v>
      </c>
      <c r="C497" s="95" t="s">
        <v>708</v>
      </c>
      <c r="D497" s="14" t="s">
        <v>238</v>
      </c>
      <c r="E497" s="197" t="s">
        <v>957</v>
      </c>
      <c r="F497" s="75">
        <v>18.47</v>
      </c>
    </row>
    <row r="498" spans="2:6" x14ac:dyDescent="0.25">
      <c r="B498" s="87" t="s">
        <v>898</v>
      </c>
      <c r="C498" s="95" t="s">
        <v>708</v>
      </c>
      <c r="D498" s="14" t="s">
        <v>241</v>
      </c>
      <c r="E498" s="78" t="s">
        <v>911</v>
      </c>
      <c r="F498" s="75">
        <v>3.41</v>
      </c>
    </row>
    <row r="499" spans="2:6" x14ac:dyDescent="0.25">
      <c r="B499" s="106" t="s">
        <v>1217</v>
      </c>
      <c r="C499" s="106" t="s">
        <v>373</v>
      </c>
      <c r="D499" s="106">
        <v>170</v>
      </c>
      <c r="E499" s="195" t="s">
        <v>1500</v>
      </c>
      <c r="F499" s="90">
        <v>2.62</v>
      </c>
    </row>
    <row r="500" spans="2:6" x14ac:dyDescent="0.25">
      <c r="B500" s="106" t="s">
        <v>898</v>
      </c>
      <c r="C500" s="106" t="s">
        <v>375</v>
      </c>
      <c r="D500" s="106">
        <v>200</v>
      </c>
      <c r="E500" s="195" t="s">
        <v>1501</v>
      </c>
      <c r="F500" s="90">
        <v>2.1</v>
      </c>
    </row>
    <row r="501" spans="2:6" x14ac:dyDescent="0.25">
      <c r="B501" s="87" t="s">
        <v>1100</v>
      </c>
      <c r="C501" s="97" t="s">
        <v>867</v>
      </c>
      <c r="D501" s="97">
        <v>4</v>
      </c>
      <c r="E501" s="42" t="s">
        <v>939</v>
      </c>
      <c r="F501" s="129">
        <v>0.123</v>
      </c>
    </row>
    <row r="502" spans="2:6" x14ac:dyDescent="0.25">
      <c r="B502" s="106" t="s">
        <v>1378</v>
      </c>
      <c r="C502" s="97" t="s">
        <v>865</v>
      </c>
      <c r="D502" s="97">
        <v>2</v>
      </c>
      <c r="E502" s="42" t="s">
        <v>1068</v>
      </c>
      <c r="F502" s="129">
        <v>2.5999999999999999E-2</v>
      </c>
    </row>
    <row r="503" spans="2:6" x14ac:dyDescent="0.25">
      <c r="B503" s="126" t="s">
        <v>898</v>
      </c>
      <c r="C503" s="210" t="s">
        <v>863</v>
      </c>
      <c r="D503" s="208" t="s">
        <v>990</v>
      </c>
      <c r="E503" s="53" t="s">
        <v>939</v>
      </c>
      <c r="F503" s="228">
        <v>0.06</v>
      </c>
    </row>
    <row r="504" spans="2:6" x14ac:dyDescent="0.25">
      <c r="B504" s="87" t="s">
        <v>1100</v>
      </c>
      <c r="C504" s="97" t="s">
        <v>864</v>
      </c>
      <c r="D504" s="97">
        <v>1</v>
      </c>
      <c r="E504" s="42" t="s">
        <v>939</v>
      </c>
      <c r="F504" s="129">
        <v>0.17699999999999999</v>
      </c>
    </row>
    <row r="505" spans="2:6" x14ac:dyDescent="0.2">
      <c r="B505" s="106" t="s">
        <v>1378</v>
      </c>
      <c r="C505" s="94" t="s">
        <v>1085</v>
      </c>
      <c r="D505" s="94">
        <v>2</v>
      </c>
      <c r="E505" s="197" t="s">
        <v>1090</v>
      </c>
      <c r="F505" s="133">
        <v>0.39</v>
      </c>
    </row>
    <row r="506" spans="2:6" x14ac:dyDescent="0.25">
      <c r="B506" s="87" t="s">
        <v>1100</v>
      </c>
      <c r="C506" s="95" t="s">
        <v>866</v>
      </c>
      <c r="D506" s="14" t="s">
        <v>247</v>
      </c>
      <c r="E506" s="78" t="s">
        <v>959</v>
      </c>
      <c r="F506" s="75">
        <v>0.08</v>
      </c>
    </row>
    <row r="507" spans="2:6" x14ac:dyDescent="0.25">
      <c r="B507" s="87" t="s">
        <v>1100</v>
      </c>
      <c r="C507" s="95" t="s">
        <v>1099</v>
      </c>
      <c r="D507" s="220">
        <v>0.8</v>
      </c>
      <c r="E507" s="88" t="s">
        <v>939</v>
      </c>
      <c r="F507" s="75">
        <v>0.06</v>
      </c>
    </row>
    <row r="508" spans="2:6" x14ac:dyDescent="0.25">
      <c r="B508" s="87" t="s">
        <v>898</v>
      </c>
      <c r="C508" s="104" t="s">
        <v>880</v>
      </c>
      <c r="D508" s="123">
        <v>13</v>
      </c>
      <c r="E508" s="147" t="s">
        <v>960</v>
      </c>
      <c r="F508" s="121">
        <v>3.0030000000000001</v>
      </c>
    </row>
    <row r="509" spans="2:6" x14ac:dyDescent="0.25">
      <c r="B509" s="87" t="s">
        <v>898</v>
      </c>
      <c r="C509" s="104" t="s">
        <v>880</v>
      </c>
      <c r="D509" s="123">
        <v>16</v>
      </c>
      <c r="E509" s="147" t="s">
        <v>960</v>
      </c>
      <c r="F509" s="121">
        <v>7.3520000000000003</v>
      </c>
    </row>
    <row r="510" spans="2:6" x14ac:dyDescent="0.25">
      <c r="B510" s="87" t="s">
        <v>1112</v>
      </c>
      <c r="C510" s="95" t="s">
        <v>2797</v>
      </c>
      <c r="D510" s="65" t="s">
        <v>239</v>
      </c>
      <c r="E510" s="197" t="s">
        <v>902</v>
      </c>
      <c r="F510" s="196">
        <v>3.04</v>
      </c>
    </row>
    <row r="511" spans="2:6" x14ac:dyDescent="0.25">
      <c r="B511" s="87" t="s">
        <v>1112</v>
      </c>
      <c r="C511" s="95" t="s">
        <v>2797</v>
      </c>
      <c r="D511" s="65" t="s">
        <v>242</v>
      </c>
      <c r="E511" s="197" t="s">
        <v>902</v>
      </c>
      <c r="F511" s="196">
        <v>4.71</v>
      </c>
    </row>
    <row r="512" spans="2:6" x14ac:dyDescent="0.25">
      <c r="B512" s="87" t="s">
        <v>1112</v>
      </c>
      <c r="C512" s="95" t="s">
        <v>2797</v>
      </c>
      <c r="D512" s="65" t="s">
        <v>180</v>
      </c>
      <c r="E512" s="78" t="s">
        <v>902</v>
      </c>
      <c r="F512" s="62">
        <v>6.78</v>
      </c>
    </row>
    <row r="513" spans="2:6" x14ac:dyDescent="0.25">
      <c r="B513" s="87" t="s">
        <v>1112</v>
      </c>
      <c r="C513" s="95" t="s">
        <v>2797</v>
      </c>
      <c r="D513" s="65" t="s">
        <v>154</v>
      </c>
      <c r="E513" s="197" t="s">
        <v>902</v>
      </c>
      <c r="F513" s="196">
        <v>3.76</v>
      </c>
    </row>
    <row r="514" spans="2:6" x14ac:dyDescent="0.25">
      <c r="B514" s="87" t="s">
        <v>1112</v>
      </c>
      <c r="C514" s="95" t="s">
        <v>875</v>
      </c>
      <c r="D514" s="14" t="s">
        <v>239</v>
      </c>
      <c r="E514" s="197" t="s">
        <v>961</v>
      </c>
      <c r="F514" s="75">
        <v>0.75</v>
      </c>
    </row>
    <row r="515" spans="2:6" x14ac:dyDescent="0.25">
      <c r="B515" s="87" t="s">
        <v>1112</v>
      </c>
      <c r="C515" s="95" t="s">
        <v>876</v>
      </c>
      <c r="D515" s="14" t="s">
        <v>244</v>
      </c>
      <c r="E515" s="78" t="s">
        <v>962</v>
      </c>
      <c r="F515" s="75">
        <v>0.53</v>
      </c>
    </row>
    <row r="516" spans="2:6" x14ac:dyDescent="0.25">
      <c r="B516" s="87" t="s">
        <v>898</v>
      </c>
      <c r="C516" s="104" t="s">
        <v>1028</v>
      </c>
      <c r="D516" s="123">
        <v>13</v>
      </c>
      <c r="E516" s="147" t="s">
        <v>968</v>
      </c>
      <c r="F516" s="121">
        <v>2.62</v>
      </c>
    </row>
    <row r="517" spans="2:6" x14ac:dyDescent="0.2">
      <c r="B517" s="119" t="s">
        <v>898</v>
      </c>
      <c r="C517" s="118" t="s">
        <v>1018</v>
      </c>
      <c r="D517" s="124">
        <v>16</v>
      </c>
      <c r="E517" s="148" t="s">
        <v>1006</v>
      </c>
      <c r="F517" s="120">
        <v>18.417000000000002</v>
      </c>
    </row>
    <row r="518" spans="2:6" x14ac:dyDescent="0.2">
      <c r="B518" s="119" t="s">
        <v>898</v>
      </c>
      <c r="C518" s="118" t="s">
        <v>1018</v>
      </c>
      <c r="D518" s="124">
        <v>16</v>
      </c>
      <c r="E518" s="148" t="s">
        <v>1009</v>
      </c>
      <c r="F518" s="120">
        <v>24.024999999999999</v>
      </c>
    </row>
    <row r="519" spans="2:6" x14ac:dyDescent="0.25">
      <c r="B519" s="87" t="s">
        <v>898</v>
      </c>
      <c r="C519" s="104" t="s">
        <v>881</v>
      </c>
      <c r="D519" s="123">
        <v>22</v>
      </c>
      <c r="E519" s="147" t="s">
        <v>963</v>
      </c>
      <c r="F519" s="121">
        <v>27.18</v>
      </c>
    </row>
    <row r="520" spans="2:6" x14ac:dyDescent="0.25">
      <c r="B520" s="87" t="s">
        <v>898</v>
      </c>
      <c r="C520" s="104" t="s">
        <v>1031</v>
      </c>
      <c r="D520" s="123">
        <v>18</v>
      </c>
      <c r="E520" s="147" t="s">
        <v>1025</v>
      </c>
      <c r="F520" s="121">
        <v>16.461000000000002</v>
      </c>
    </row>
    <row r="521" spans="2:6" x14ac:dyDescent="0.25">
      <c r="B521" s="87" t="s">
        <v>1112</v>
      </c>
      <c r="C521" s="95" t="s">
        <v>873</v>
      </c>
      <c r="D521" s="14" t="s">
        <v>239</v>
      </c>
      <c r="E521" s="78" t="s">
        <v>996</v>
      </c>
      <c r="F521" s="75">
        <v>2.2599999999999998</v>
      </c>
    </row>
    <row r="522" spans="2:6" x14ac:dyDescent="0.25">
      <c r="B522" s="87" t="s">
        <v>1112</v>
      </c>
      <c r="C522" s="95" t="s">
        <v>873</v>
      </c>
      <c r="D522" s="65" t="s">
        <v>242</v>
      </c>
      <c r="E522" s="197" t="s">
        <v>996</v>
      </c>
      <c r="F522" s="196">
        <v>4.3099999999999996</v>
      </c>
    </row>
    <row r="523" spans="2:6" x14ac:dyDescent="0.25">
      <c r="B523" s="87" t="s">
        <v>1112</v>
      </c>
      <c r="C523" s="95" t="s">
        <v>873</v>
      </c>
      <c r="D523" s="65" t="s">
        <v>180</v>
      </c>
      <c r="E523" s="197" t="s">
        <v>996</v>
      </c>
      <c r="F523" s="196">
        <v>8.4600000000000009</v>
      </c>
    </row>
    <row r="524" spans="2:6" x14ac:dyDescent="0.25">
      <c r="B524" s="87" t="s">
        <v>1112</v>
      </c>
      <c r="C524" s="95" t="s">
        <v>873</v>
      </c>
      <c r="D524" s="65" t="s">
        <v>154</v>
      </c>
      <c r="E524" s="197" t="s">
        <v>996</v>
      </c>
      <c r="F524" s="196">
        <v>7.25</v>
      </c>
    </row>
    <row r="525" spans="2:6" x14ac:dyDescent="0.25">
      <c r="B525" s="87" t="s">
        <v>1112</v>
      </c>
      <c r="C525" s="95" t="s">
        <v>874</v>
      </c>
      <c r="D525" s="14" t="s">
        <v>242</v>
      </c>
      <c r="E525" s="197" t="s">
        <v>902</v>
      </c>
      <c r="F525" s="75">
        <v>5.72</v>
      </c>
    </row>
    <row r="526" spans="2:6" x14ac:dyDescent="0.25">
      <c r="B526" s="87" t="s">
        <v>898</v>
      </c>
      <c r="C526" s="104" t="s">
        <v>1029</v>
      </c>
      <c r="D526" s="123">
        <v>13</v>
      </c>
      <c r="E526" s="147" t="s">
        <v>1021</v>
      </c>
      <c r="F526" s="121">
        <v>1.8850000000000002</v>
      </c>
    </row>
    <row r="527" spans="2:6" x14ac:dyDescent="0.25">
      <c r="B527" s="126" t="s">
        <v>898</v>
      </c>
      <c r="C527" s="154" t="s">
        <v>1033</v>
      </c>
      <c r="D527" s="157">
        <v>11</v>
      </c>
      <c r="E527" s="160" t="s">
        <v>1027</v>
      </c>
      <c r="F527" s="162">
        <v>4.8479999999999999</v>
      </c>
    </row>
    <row r="528" spans="2:6" x14ac:dyDescent="0.25">
      <c r="B528" s="87" t="s">
        <v>898</v>
      </c>
      <c r="C528" s="104" t="s">
        <v>882</v>
      </c>
      <c r="D528" s="123">
        <v>26</v>
      </c>
      <c r="E528" s="147" t="s">
        <v>971</v>
      </c>
      <c r="F528" s="121">
        <v>10.698999999999998</v>
      </c>
    </row>
    <row r="529" spans="2:6" x14ac:dyDescent="0.25">
      <c r="B529" s="87" t="s">
        <v>898</v>
      </c>
      <c r="C529" s="104" t="s">
        <v>1030</v>
      </c>
      <c r="D529" s="123">
        <v>14</v>
      </c>
      <c r="E529" s="147" t="s">
        <v>1023</v>
      </c>
      <c r="F529" s="121">
        <v>10.173999999999999</v>
      </c>
    </row>
    <row r="530" spans="2:6" x14ac:dyDescent="0.25">
      <c r="B530" s="106" t="s">
        <v>1503</v>
      </c>
      <c r="C530" s="106" t="s">
        <v>1502</v>
      </c>
      <c r="D530" s="106">
        <v>10</v>
      </c>
      <c r="E530" s="87" t="s">
        <v>1504</v>
      </c>
      <c r="F530" s="90">
        <v>2.14</v>
      </c>
    </row>
    <row r="531" spans="2:6" x14ac:dyDescent="0.25">
      <c r="B531" s="106" t="s">
        <v>1391</v>
      </c>
      <c r="C531" s="106" t="s">
        <v>1505</v>
      </c>
      <c r="D531" s="106">
        <v>18</v>
      </c>
      <c r="E531" s="195" t="s">
        <v>1506</v>
      </c>
      <c r="F531" s="90">
        <v>1.5</v>
      </c>
    </row>
    <row r="532" spans="2:6" x14ac:dyDescent="0.25">
      <c r="B532" s="106" t="s">
        <v>1391</v>
      </c>
      <c r="C532" s="106" t="s">
        <v>1505</v>
      </c>
      <c r="D532" s="106">
        <v>30</v>
      </c>
      <c r="E532" s="195" t="s">
        <v>1507</v>
      </c>
      <c r="F532" s="90">
        <v>6.01</v>
      </c>
    </row>
    <row r="533" spans="2:6" x14ac:dyDescent="0.25">
      <c r="B533" s="106" t="s">
        <v>1391</v>
      </c>
      <c r="C533" s="106" t="s">
        <v>1505</v>
      </c>
      <c r="D533" s="106">
        <v>30</v>
      </c>
      <c r="E533" s="195" t="s">
        <v>1508</v>
      </c>
      <c r="F533" s="90">
        <v>4.28</v>
      </c>
    </row>
    <row r="534" spans="2:6" x14ac:dyDescent="0.25">
      <c r="B534" s="106" t="s">
        <v>898</v>
      </c>
      <c r="C534" s="106" t="s">
        <v>1509</v>
      </c>
      <c r="D534" s="106">
        <v>3</v>
      </c>
      <c r="E534" s="87" t="s">
        <v>1510</v>
      </c>
      <c r="F534" s="90">
        <v>5.5E-2</v>
      </c>
    </row>
    <row r="535" spans="2:6" x14ac:dyDescent="0.25">
      <c r="B535" s="87" t="s">
        <v>898</v>
      </c>
      <c r="C535" s="104" t="s">
        <v>1524</v>
      </c>
      <c r="D535" s="123">
        <v>15</v>
      </c>
      <c r="E535" s="147" t="s">
        <v>964</v>
      </c>
      <c r="F535" s="121">
        <v>3.121</v>
      </c>
    </row>
    <row r="536" spans="2:6" x14ac:dyDescent="0.25">
      <c r="B536" s="87" t="s">
        <v>898</v>
      </c>
      <c r="C536" s="104" t="s">
        <v>1525</v>
      </c>
      <c r="D536" s="123">
        <v>15</v>
      </c>
      <c r="E536" s="147" t="s">
        <v>964</v>
      </c>
      <c r="F536" s="121">
        <v>9.3450000000000006</v>
      </c>
    </row>
    <row r="537" spans="2:6" x14ac:dyDescent="0.25">
      <c r="B537" s="87" t="s">
        <v>898</v>
      </c>
      <c r="C537" s="102" t="s">
        <v>223</v>
      </c>
      <c r="D537" s="102">
        <v>13</v>
      </c>
      <c r="E537" s="146" t="s">
        <v>966</v>
      </c>
      <c r="F537" s="103">
        <v>6.3120000000000003</v>
      </c>
    </row>
    <row r="538" spans="2:6" x14ac:dyDescent="0.25">
      <c r="B538" s="87" t="s">
        <v>898</v>
      </c>
      <c r="C538" s="102" t="s">
        <v>223</v>
      </c>
      <c r="D538" s="102">
        <v>13</v>
      </c>
      <c r="E538" s="146" t="s">
        <v>967</v>
      </c>
      <c r="F538" s="103">
        <v>4.4290000000000003</v>
      </c>
    </row>
    <row r="539" spans="2:6" x14ac:dyDescent="0.25">
      <c r="B539" s="87" t="s">
        <v>898</v>
      </c>
      <c r="C539" s="104" t="s">
        <v>1032</v>
      </c>
      <c r="D539" s="123">
        <v>15</v>
      </c>
      <c r="E539" s="147" t="s">
        <v>964</v>
      </c>
      <c r="F539" s="121">
        <v>3.1230000000000002</v>
      </c>
    </row>
    <row r="540" spans="2:6" x14ac:dyDescent="0.25">
      <c r="B540" s="87" t="s">
        <v>898</v>
      </c>
      <c r="C540" s="102" t="s">
        <v>1527</v>
      </c>
      <c r="D540" s="102">
        <v>12</v>
      </c>
      <c r="E540" s="146" t="s">
        <v>1057</v>
      </c>
      <c r="F540" s="103">
        <v>35.18</v>
      </c>
    </row>
    <row r="541" spans="2:6" x14ac:dyDescent="0.25">
      <c r="B541" s="87" t="s">
        <v>898</v>
      </c>
      <c r="C541" s="102" t="s">
        <v>1527</v>
      </c>
      <c r="D541" s="102">
        <v>12</v>
      </c>
      <c r="E541" s="146" t="s">
        <v>1058</v>
      </c>
      <c r="F541" s="103">
        <v>1.3120000000000001</v>
      </c>
    </row>
    <row r="542" spans="2:6" x14ac:dyDescent="0.25">
      <c r="B542" s="126" t="s">
        <v>898</v>
      </c>
      <c r="C542" s="205" t="s">
        <v>1527</v>
      </c>
      <c r="D542" s="205">
        <v>12</v>
      </c>
      <c r="E542" s="206" t="s">
        <v>965</v>
      </c>
      <c r="F542" s="207">
        <v>1.55</v>
      </c>
    </row>
    <row r="543" spans="2:6" x14ac:dyDescent="0.25">
      <c r="B543" s="87" t="s">
        <v>898</v>
      </c>
      <c r="C543" s="102" t="s">
        <v>1527</v>
      </c>
      <c r="D543" s="102">
        <v>18</v>
      </c>
      <c r="E543" s="146" t="s">
        <v>1037</v>
      </c>
      <c r="F543" s="103">
        <v>0.97</v>
      </c>
    </row>
    <row r="544" spans="2:6" x14ac:dyDescent="0.25">
      <c r="B544" s="87" t="s">
        <v>898</v>
      </c>
      <c r="C544" s="104" t="s">
        <v>1526</v>
      </c>
      <c r="D544" s="123">
        <v>13</v>
      </c>
      <c r="E544" s="147" t="s">
        <v>943</v>
      </c>
      <c r="F544" s="121">
        <v>6.8400000000000007</v>
      </c>
    </row>
    <row r="545" spans="2:6" x14ac:dyDescent="0.25">
      <c r="B545" s="87" t="s">
        <v>898</v>
      </c>
      <c r="C545" s="104" t="s">
        <v>1526</v>
      </c>
      <c r="D545" s="123">
        <v>13</v>
      </c>
      <c r="E545" s="147" t="s">
        <v>943</v>
      </c>
      <c r="F545" s="121">
        <v>13.68</v>
      </c>
    </row>
    <row r="546" spans="2:6" x14ac:dyDescent="0.25">
      <c r="B546" s="87" t="s">
        <v>898</v>
      </c>
      <c r="C546" s="104" t="s">
        <v>1526</v>
      </c>
      <c r="D546" s="123">
        <v>15</v>
      </c>
      <c r="E546" s="147" t="s">
        <v>964</v>
      </c>
      <c r="F546" s="121">
        <v>12.484</v>
      </c>
    </row>
    <row r="547" spans="2:6" x14ac:dyDescent="0.25">
      <c r="B547" s="87" t="s">
        <v>898</v>
      </c>
      <c r="C547" s="104" t="s">
        <v>1526</v>
      </c>
      <c r="D547" s="123">
        <v>15</v>
      </c>
      <c r="E547" s="147" t="s">
        <v>943</v>
      </c>
      <c r="F547" s="121">
        <v>5.2539999999999996</v>
      </c>
    </row>
    <row r="548" spans="2:6" x14ac:dyDescent="0.25">
      <c r="B548" s="87" t="s">
        <v>898</v>
      </c>
      <c r="C548" s="104" t="s">
        <v>1526</v>
      </c>
      <c r="D548" s="123">
        <v>17</v>
      </c>
      <c r="E548" s="147" t="s">
        <v>943</v>
      </c>
      <c r="F548" s="121">
        <v>14.86</v>
      </c>
    </row>
    <row r="549" spans="2:6" x14ac:dyDescent="0.25">
      <c r="B549" s="87" t="s">
        <v>898</v>
      </c>
      <c r="C549" s="104" t="s">
        <v>1526</v>
      </c>
      <c r="D549" s="123">
        <v>17</v>
      </c>
      <c r="E549" s="147" t="s">
        <v>1026</v>
      </c>
      <c r="F549" s="121">
        <v>2.6</v>
      </c>
    </row>
    <row r="550" spans="2:6" x14ac:dyDescent="0.25">
      <c r="B550" s="87" t="s">
        <v>898</v>
      </c>
      <c r="C550" s="104" t="s">
        <v>1526</v>
      </c>
      <c r="D550" s="123">
        <v>22</v>
      </c>
      <c r="E550" s="147" t="s">
        <v>968</v>
      </c>
      <c r="F550" s="121">
        <v>18.092000000000002</v>
      </c>
    </row>
    <row r="551" spans="2:6" x14ac:dyDescent="0.25">
      <c r="B551" s="87" t="s">
        <v>898</v>
      </c>
      <c r="C551" s="102" t="s">
        <v>1523</v>
      </c>
      <c r="D551" s="102">
        <v>25</v>
      </c>
      <c r="E551" s="146" t="s">
        <v>969</v>
      </c>
      <c r="F551" s="103">
        <v>1.4570000000000001</v>
      </c>
    </row>
    <row r="552" spans="2:6" x14ac:dyDescent="0.2">
      <c r="B552" s="119" t="s">
        <v>898</v>
      </c>
      <c r="C552" s="102" t="s">
        <v>1523</v>
      </c>
      <c r="D552" s="124">
        <v>36</v>
      </c>
      <c r="E552" s="148" t="s">
        <v>1014</v>
      </c>
      <c r="F552" s="120">
        <v>22.065999999999999</v>
      </c>
    </row>
    <row r="553" spans="2:6" x14ac:dyDescent="0.2">
      <c r="B553" s="119" t="s">
        <v>898</v>
      </c>
      <c r="C553" s="102" t="s">
        <v>1523</v>
      </c>
      <c r="D553" s="124">
        <v>36</v>
      </c>
      <c r="E553" s="148" t="s">
        <v>1015</v>
      </c>
      <c r="F553" s="120">
        <v>3.58</v>
      </c>
    </row>
    <row r="554" spans="2:6" x14ac:dyDescent="0.2">
      <c r="B554" s="119" t="s">
        <v>898</v>
      </c>
      <c r="C554" s="102" t="s">
        <v>1523</v>
      </c>
      <c r="D554" s="124">
        <v>36</v>
      </c>
      <c r="E554" s="148" t="s">
        <v>1016</v>
      </c>
      <c r="F554" s="120">
        <v>17.091000000000001</v>
      </c>
    </row>
    <row r="555" spans="2:6" x14ac:dyDescent="0.2">
      <c r="B555" s="119" t="s">
        <v>898</v>
      </c>
      <c r="C555" s="102" t="s">
        <v>1523</v>
      </c>
      <c r="D555" s="124">
        <v>37</v>
      </c>
      <c r="E555" s="148" t="s">
        <v>1017</v>
      </c>
      <c r="F555" s="120">
        <v>14.396000000000001</v>
      </c>
    </row>
    <row r="556" spans="2:6" x14ac:dyDescent="0.2">
      <c r="B556" s="119" t="s">
        <v>898</v>
      </c>
      <c r="C556" s="102" t="s">
        <v>1523</v>
      </c>
      <c r="D556" s="124">
        <v>38</v>
      </c>
      <c r="E556" s="148" t="s">
        <v>918</v>
      </c>
      <c r="F556" s="120">
        <v>19.347000000000001</v>
      </c>
    </row>
    <row r="557" spans="2:6" x14ac:dyDescent="0.2">
      <c r="B557" s="119" t="s">
        <v>898</v>
      </c>
      <c r="C557" s="102" t="s">
        <v>1523</v>
      </c>
      <c r="D557" s="124">
        <v>39</v>
      </c>
      <c r="E557" s="148" t="s">
        <v>918</v>
      </c>
      <c r="F557" s="120">
        <v>19.747</v>
      </c>
    </row>
    <row r="558" spans="2:6" x14ac:dyDescent="0.25">
      <c r="B558" s="87" t="s">
        <v>898</v>
      </c>
      <c r="C558" s="104" t="s">
        <v>1522</v>
      </c>
      <c r="D558" s="123">
        <v>13</v>
      </c>
      <c r="E558" s="147" t="s">
        <v>970</v>
      </c>
      <c r="F558" s="121">
        <v>19.72</v>
      </c>
    </row>
    <row r="559" spans="2:6" x14ac:dyDescent="0.25">
      <c r="B559" s="87" t="s">
        <v>898</v>
      </c>
      <c r="C559" s="104" t="s">
        <v>1522</v>
      </c>
      <c r="D559" s="123">
        <v>17</v>
      </c>
      <c r="E559" s="147" t="s">
        <v>1024</v>
      </c>
      <c r="F559" s="121">
        <v>5.0790000000000006</v>
      </c>
    </row>
    <row r="560" spans="2:6" x14ac:dyDescent="0.25">
      <c r="B560" s="74" t="s">
        <v>263</v>
      </c>
      <c r="C560" s="197" t="s">
        <v>268</v>
      </c>
      <c r="D560" s="122">
        <v>5</v>
      </c>
      <c r="E560" s="49" t="s">
        <v>981</v>
      </c>
      <c r="F560" s="77">
        <v>0.78</v>
      </c>
    </row>
    <row r="561" spans="2:6" x14ac:dyDescent="0.25">
      <c r="B561" s="112" t="s">
        <v>1528</v>
      </c>
      <c r="C561" s="112" t="s">
        <v>333</v>
      </c>
      <c r="D561" s="112">
        <v>8</v>
      </c>
      <c r="E561" s="51" t="s">
        <v>972</v>
      </c>
      <c r="F561" s="34">
        <v>0.23200000000000001</v>
      </c>
    </row>
    <row r="562" spans="2:6" x14ac:dyDescent="0.25">
      <c r="B562" s="106" t="s">
        <v>898</v>
      </c>
      <c r="C562" s="106" t="s">
        <v>1511</v>
      </c>
      <c r="D562" s="106">
        <v>9</v>
      </c>
      <c r="E562" s="87" t="s">
        <v>1512</v>
      </c>
      <c r="F562" s="90">
        <v>0.23</v>
      </c>
    </row>
    <row r="563" spans="2:6" x14ac:dyDescent="0.25">
      <c r="B563" s="87" t="s">
        <v>898</v>
      </c>
      <c r="C563" s="102" t="s">
        <v>1056</v>
      </c>
      <c r="D563" s="102">
        <v>14</v>
      </c>
      <c r="E563" s="146" t="s">
        <v>901</v>
      </c>
      <c r="F563" s="103">
        <v>0.98899999999999999</v>
      </c>
    </row>
    <row r="564" spans="2:6" x14ac:dyDescent="0.25">
      <c r="B564" s="87" t="s">
        <v>898</v>
      </c>
      <c r="C564" s="102" t="s">
        <v>1056</v>
      </c>
      <c r="D564" s="102">
        <v>25</v>
      </c>
      <c r="E564" s="146" t="s">
        <v>901</v>
      </c>
      <c r="F564" s="103">
        <v>1.766</v>
      </c>
    </row>
    <row r="565" spans="2:6" x14ac:dyDescent="0.25">
      <c r="B565" s="87" t="s">
        <v>898</v>
      </c>
      <c r="C565" s="102" t="s">
        <v>1056</v>
      </c>
      <c r="D565" s="102">
        <v>30</v>
      </c>
      <c r="E565" s="146" t="s">
        <v>901</v>
      </c>
      <c r="F565" s="103">
        <v>4.24</v>
      </c>
    </row>
    <row r="566" spans="2:6" x14ac:dyDescent="0.25">
      <c r="B566" s="87" t="s">
        <v>898</v>
      </c>
      <c r="C566" s="74" t="s">
        <v>1103</v>
      </c>
      <c r="D566" s="14">
        <v>16</v>
      </c>
      <c r="E566" s="197" t="s">
        <v>902</v>
      </c>
      <c r="F566" s="92">
        <v>16.68</v>
      </c>
    </row>
    <row r="567" spans="2:6" x14ac:dyDescent="0.25">
      <c r="B567" s="87" t="s">
        <v>1112</v>
      </c>
      <c r="C567" s="196" t="s">
        <v>1111</v>
      </c>
      <c r="D567" s="65" t="s">
        <v>242</v>
      </c>
      <c r="E567" s="197" t="s">
        <v>902</v>
      </c>
      <c r="F567" s="196">
        <v>5.88</v>
      </c>
    </row>
    <row r="568" spans="2:6" x14ac:dyDescent="0.25">
      <c r="B568" s="87" t="s">
        <v>1112</v>
      </c>
      <c r="C568" s="196" t="s">
        <v>1111</v>
      </c>
      <c r="D568" s="65" t="s">
        <v>154</v>
      </c>
      <c r="E568" s="197" t="s">
        <v>902</v>
      </c>
      <c r="F568" s="196">
        <v>5.62</v>
      </c>
    </row>
    <row r="569" spans="2:6" x14ac:dyDescent="0.25">
      <c r="B569" s="87" t="s">
        <v>1112</v>
      </c>
      <c r="C569" s="196" t="s">
        <v>1111</v>
      </c>
      <c r="D569" s="65" t="s">
        <v>184</v>
      </c>
      <c r="E569" s="197" t="s">
        <v>902</v>
      </c>
      <c r="F569" s="196">
        <v>8.48</v>
      </c>
    </row>
    <row r="570" spans="2:6" x14ac:dyDescent="0.25">
      <c r="B570" s="87" t="s">
        <v>1112</v>
      </c>
      <c r="C570" s="196" t="s">
        <v>1111</v>
      </c>
      <c r="D570" s="65" t="s">
        <v>655</v>
      </c>
      <c r="E570" s="78" t="s">
        <v>902</v>
      </c>
      <c r="F570" s="196">
        <v>7.54</v>
      </c>
    </row>
    <row r="571" spans="2:6" x14ac:dyDescent="0.25">
      <c r="B571" s="87" t="s">
        <v>1112</v>
      </c>
      <c r="C571" s="62" t="s">
        <v>1111</v>
      </c>
      <c r="D571" s="65" t="s">
        <v>239</v>
      </c>
      <c r="E571" s="78" t="s">
        <v>902</v>
      </c>
      <c r="F571" s="62">
        <v>2.14</v>
      </c>
    </row>
    <row r="572" spans="2:6" x14ac:dyDescent="0.25">
      <c r="B572" s="87" t="s">
        <v>1112</v>
      </c>
      <c r="C572" s="196" t="s">
        <v>1111</v>
      </c>
      <c r="D572" s="65" t="s">
        <v>180</v>
      </c>
      <c r="E572" s="78" t="s">
        <v>902</v>
      </c>
      <c r="F572" s="196">
        <v>5.21</v>
      </c>
    </row>
    <row r="573" spans="2:6" x14ac:dyDescent="0.25">
      <c r="B573" s="106" t="s">
        <v>898</v>
      </c>
      <c r="C573" s="106" t="s">
        <v>328</v>
      </c>
      <c r="D573" s="106">
        <v>45</v>
      </c>
      <c r="E573" s="195" t="s">
        <v>1513</v>
      </c>
      <c r="F573" s="90">
        <v>0.245</v>
      </c>
    </row>
    <row r="574" spans="2:6" x14ac:dyDescent="0.25">
      <c r="B574" s="112" t="s">
        <v>898</v>
      </c>
      <c r="C574" s="112" t="s">
        <v>328</v>
      </c>
      <c r="D574" s="112">
        <v>50</v>
      </c>
      <c r="E574" s="51" t="s">
        <v>1072</v>
      </c>
      <c r="F574" s="194">
        <v>0.33600000000000002</v>
      </c>
    </row>
    <row r="575" spans="2:6" x14ac:dyDescent="0.25">
      <c r="B575" s="112" t="s">
        <v>898</v>
      </c>
      <c r="C575" s="112" t="s">
        <v>328</v>
      </c>
      <c r="D575" s="112">
        <v>80</v>
      </c>
      <c r="E575" s="51" t="s">
        <v>1072</v>
      </c>
      <c r="F575" s="194">
        <v>0.54400000000000004</v>
      </c>
    </row>
    <row r="576" spans="2:6" x14ac:dyDescent="0.25">
      <c r="B576" s="87" t="s">
        <v>898</v>
      </c>
      <c r="C576" s="104" t="s">
        <v>1019</v>
      </c>
      <c r="D576" s="123">
        <v>22</v>
      </c>
      <c r="E576" s="147" t="s">
        <v>963</v>
      </c>
      <c r="F576" s="121">
        <v>36.15</v>
      </c>
    </row>
    <row r="577" spans="2:6" x14ac:dyDescent="0.2">
      <c r="B577" s="119" t="s">
        <v>898</v>
      </c>
      <c r="C577" s="118" t="s">
        <v>1019</v>
      </c>
      <c r="D577" s="124">
        <v>25</v>
      </c>
      <c r="E577" s="148" t="s">
        <v>1011</v>
      </c>
      <c r="F577" s="120">
        <v>9.86</v>
      </c>
    </row>
    <row r="578" spans="2:6" x14ac:dyDescent="0.2">
      <c r="B578" s="155" t="s">
        <v>898</v>
      </c>
      <c r="C578" s="153" t="s">
        <v>1019</v>
      </c>
      <c r="D578" s="156">
        <v>25</v>
      </c>
      <c r="E578" s="159" t="s">
        <v>1012</v>
      </c>
      <c r="F578" s="161">
        <v>11.538</v>
      </c>
    </row>
    <row r="579" spans="2:6" x14ac:dyDescent="0.25">
      <c r="B579" s="87" t="s">
        <v>1100</v>
      </c>
      <c r="C579" s="97" t="s">
        <v>1060</v>
      </c>
      <c r="D579" s="97">
        <v>0.8</v>
      </c>
      <c r="E579" s="42" t="s">
        <v>1063</v>
      </c>
      <c r="F579" s="129">
        <v>1.48</v>
      </c>
    </row>
    <row r="580" spans="2:6" x14ac:dyDescent="0.25">
      <c r="B580" s="87" t="s">
        <v>1100</v>
      </c>
      <c r="C580" s="97" t="s">
        <v>1062</v>
      </c>
      <c r="D580" s="97">
        <v>1.6</v>
      </c>
      <c r="E580" s="42" t="s">
        <v>1066</v>
      </c>
      <c r="F580" s="130">
        <v>6.0000000000000001E-3</v>
      </c>
    </row>
    <row r="581" spans="2:6" x14ac:dyDescent="0.25">
      <c r="B581" s="87" t="s">
        <v>1100</v>
      </c>
      <c r="C581" s="97" t="s">
        <v>1062</v>
      </c>
      <c r="D581" s="97">
        <v>1.6</v>
      </c>
      <c r="E581" s="42" t="s">
        <v>1067</v>
      </c>
      <c r="F581" s="130">
        <v>5.0000000000000001E-3</v>
      </c>
    </row>
    <row r="582" spans="2:6" x14ac:dyDescent="0.25">
      <c r="B582" s="87" t="s">
        <v>1100</v>
      </c>
      <c r="C582" s="97" t="s">
        <v>1061</v>
      </c>
      <c r="D582" s="97">
        <v>1</v>
      </c>
      <c r="E582" s="42" t="s">
        <v>1064</v>
      </c>
      <c r="F582" s="130">
        <v>6.0000000000000001E-3</v>
      </c>
    </row>
    <row r="583" spans="2:6" x14ac:dyDescent="0.25">
      <c r="B583" s="87" t="s">
        <v>1100</v>
      </c>
      <c r="C583" s="97" t="s">
        <v>1061</v>
      </c>
      <c r="D583" s="97">
        <v>1</v>
      </c>
      <c r="E583" s="42" t="s">
        <v>1065</v>
      </c>
      <c r="F583" s="130">
        <v>7.0000000000000001E-3</v>
      </c>
    </row>
    <row r="584" spans="2:6" x14ac:dyDescent="0.25">
      <c r="B584" s="87" t="s">
        <v>1100</v>
      </c>
      <c r="C584" s="97" t="s">
        <v>1061</v>
      </c>
      <c r="D584" s="97">
        <v>1</v>
      </c>
      <c r="E584" s="42" t="s">
        <v>1063</v>
      </c>
      <c r="F584" s="130">
        <v>8.0000000000000002E-3</v>
      </c>
    </row>
    <row r="585" spans="2:6" x14ac:dyDescent="0.2">
      <c r="B585" s="106" t="s">
        <v>1378</v>
      </c>
      <c r="C585" s="94" t="s">
        <v>1092</v>
      </c>
      <c r="D585" s="94">
        <v>17</v>
      </c>
      <c r="E585" s="197" t="s">
        <v>1089</v>
      </c>
      <c r="F585" s="133">
        <v>0.70299999999999996</v>
      </c>
    </row>
    <row r="586" spans="2:6" x14ac:dyDescent="0.2">
      <c r="B586" s="134" t="s">
        <v>985</v>
      </c>
      <c r="C586" s="94" t="s">
        <v>1091</v>
      </c>
      <c r="D586" s="94">
        <v>3.5</v>
      </c>
      <c r="E586" s="197">
        <v>1050</v>
      </c>
      <c r="F586" s="133">
        <v>10</v>
      </c>
    </row>
    <row r="587" spans="2:6" x14ac:dyDescent="0.25">
      <c r="B587" s="196" t="s">
        <v>2799</v>
      </c>
      <c r="C587" s="196" t="s">
        <v>2798</v>
      </c>
      <c r="D587" s="65" t="s">
        <v>239</v>
      </c>
      <c r="E587" s="196" t="s">
        <v>2806</v>
      </c>
      <c r="F587" s="196" t="s">
        <v>316</v>
      </c>
    </row>
    <row r="588" spans="2:6" x14ac:dyDescent="0.25">
      <c r="B588" s="196" t="s">
        <v>2799</v>
      </c>
      <c r="C588" s="196" t="s">
        <v>2798</v>
      </c>
      <c r="D588" s="65" t="s">
        <v>242</v>
      </c>
      <c r="E588" s="196" t="s">
        <v>2806</v>
      </c>
      <c r="F588" s="196" t="s">
        <v>316</v>
      </c>
    </row>
    <row r="589" spans="2:6" x14ac:dyDescent="0.25">
      <c r="B589" s="196" t="s">
        <v>2801</v>
      </c>
      <c r="C589" s="196" t="s">
        <v>2800</v>
      </c>
      <c r="D589" s="65" t="s">
        <v>2805</v>
      </c>
      <c r="E589" s="196"/>
      <c r="F589" s="196" t="s">
        <v>316</v>
      </c>
    </row>
    <row r="590" spans="2:6" ht="25.5" x14ac:dyDescent="0.25">
      <c r="B590" s="213" t="s">
        <v>2803</v>
      </c>
      <c r="C590" s="251" t="s">
        <v>2802</v>
      </c>
      <c r="D590" s="252" t="s">
        <v>2804</v>
      </c>
      <c r="E590" s="251"/>
      <c r="F590" s="251" t="s">
        <v>316</v>
      </c>
    </row>
    <row r="591" spans="2:6" x14ac:dyDescent="0.25">
      <c r="B591" s="234" t="s">
        <v>1112</v>
      </c>
      <c r="C591" s="104" t="s">
        <v>2928</v>
      </c>
      <c r="D591" s="125">
        <v>8</v>
      </c>
      <c r="E591" s="253" t="s">
        <v>2932</v>
      </c>
      <c r="F591" s="256">
        <v>0.32600000000000001</v>
      </c>
    </row>
    <row r="592" spans="2:6" x14ac:dyDescent="0.25">
      <c r="B592" s="234" t="s">
        <v>1112</v>
      </c>
      <c r="C592" s="104" t="s">
        <v>2928</v>
      </c>
      <c r="D592" s="125">
        <v>18</v>
      </c>
      <c r="E592" s="253" t="s">
        <v>901</v>
      </c>
      <c r="F592" s="256">
        <v>2.54</v>
      </c>
    </row>
    <row r="593" spans="2:6" ht="25.5" x14ac:dyDescent="0.25">
      <c r="B593" s="234" t="s">
        <v>1112</v>
      </c>
      <c r="C593" s="104" t="s">
        <v>884</v>
      </c>
      <c r="D593" s="125">
        <v>20</v>
      </c>
      <c r="E593" s="255" t="s">
        <v>2933</v>
      </c>
      <c r="F593" s="256">
        <v>0.9</v>
      </c>
    </row>
    <row r="594" spans="2:6" x14ac:dyDescent="0.25">
      <c r="B594" s="234" t="s">
        <v>1112</v>
      </c>
      <c r="C594" s="55" t="s">
        <v>2929</v>
      </c>
      <c r="D594" s="125">
        <v>20</v>
      </c>
      <c r="E594" s="253" t="s">
        <v>1413</v>
      </c>
      <c r="F594" s="256">
        <v>1.19</v>
      </c>
    </row>
    <row r="595" spans="2:6" x14ac:dyDescent="0.25">
      <c r="B595" s="234" t="s">
        <v>1112</v>
      </c>
      <c r="C595" s="104" t="s">
        <v>878</v>
      </c>
      <c r="D595" s="125">
        <v>22</v>
      </c>
      <c r="E595" s="255" t="s">
        <v>2934</v>
      </c>
      <c r="F595" s="256">
        <v>0.43</v>
      </c>
    </row>
    <row r="596" spans="2:6" x14ac:dyDescent="0.25">
      <c r="B596" s="234" t="s">
        <v>1112</v>
      </c>
      <c r="C596" s="104" t="s">
        <v>2929</v>
      </c>
      <c r="D596" s="125">
        <v>25</v>
      </c>
      <c r="E596" s="255" t="s">
        <v>1413</v>
      </c>
      <c r="F596" s="256">
        <v>1.4870000000000001</v>
      </c>
    </row>
    <row r="597" spans="2:6" x14ac:dyDescent="0.25">
      <c r="B597" s="234" t="s">
        <v>1112</v>
      </c>
      <c r="C597" s="104" t="s">
        <v>2929</v>
      </c>
      <c r="D597" s="125">
        <v>25</v>
      </c>
      <c r="E597" s="255" t="s">
        <v>2935</v>
      </c>
      <c r="F597" s="256">
        <v>1.978</v>
      </c>
    </row>
    <row r="598" spans="2:6" x14ac:dyDescent="0.25">
      <c r="B598" s="234" t="s">
        <v>1112</v>
      </c>
      <c r="C598" s="104" t="s">
        <v>2928</v>
      </c>
      <c r="D598" s="125">
        <v>25</v>
      </c>
      <c r="E598" s="253" t="s">
        <v>2936</v>
      </c>
      <c r="F598" s="256">
        <f>3.71-0.23-0.11-0.805</f>
        <v>2.5649999999999999</v>
      </c>
    </row>
    <row r="599" spans="2:6" x14ac:dyDescent="0.25">
      <c r="B599" s="234" t="s">
        <v>1112</v>
      </c>
      <c r="C599" s="104" t="s">
        <v>2929</v>
      </c>
      <c r="D599" s="125">
        <v>25</v>
      </c>
      <c r="E599" s="253" t="s">
        <v>2937</v>
      </c>
      <c r="F599" s="256">
        <v>0.8</v>
      </c>
    </row>
    <row r="600" spans="2:6" x14ac:dyDescent="0.25">
      <c r="B600" s="234" t="s">
        <v>1112</v>
      </c>
      <c r="C600" s="104" t="s">
        <v>2929</v>
      </c>
      <c r="D600" s="125">
        <v>30</v>
      </c>
      <c r="E600" s="253" t="s">
        <v>2938</v>
      </c>
      <c r="F600" s="256">
        <v>2.2799999999999998</v>
      </c>
    </row>
    <row r="601" spans="2:6" ht="25.5" x14ac:dyDescent="0.25">
      <c r="B601" s="234" t="s">
        <v>1112</v>
      </c>
      <c r="C601" s="104" t="s">
        <v>2928</v>
      </c>
      <c r="D601" s="125">
        <v>30</v>
      </c>
      <c r="E601" s="253" t="s">
        <v>2939</v>
      </c>
      <c r="F601" s="256">
        <f>4.68-1.351-0.185</f>
        <v>3.1439999999999997</v>
      </c>
    </row>
    <row r="602" spans="2:6" x14ac:dyDescent="0.25">
      <c r="B602" s="234" t="s">
        <v>1112</v>
      </c>
      <c r="C602" s="104" t="s">
        <v>2928</v>
      </c>
      <c r="D602" s="125">
        <v>36</v>
      </c>
      <c r="E602" s="255" t="s">
        <v>2940</v>
      </c>
      <c r="F602" s="256">
        <f>4.829-1.785-1.385</f>
        <v>1.6589999999999996</v>
      </c>
    </row>
    <row r="603" spans="2:6" x14ac:dyDescent="0.25">
      <c r="B603" s="234" t="s">
        <v>1112</v>
      </c>
      <c r="C603" s="104" t="s">
        <v>2930</v>
      </c>
      <c r="D603" s="125">
        <v>40</v>
      </c>
      <c r="E603" s="255" t="s">
        <v>2941</v>
      </c>
      <c r="F603" s="256">
        <v>0.18</v>
      </c>
    </row>
    <row r="604" spans="2:6" x14ac:dyDescent="0.25">
      <c r="B604" s="234" t="s">
        <v>1112</v>
      </c>
      <c r="C604" s="104" t="s">
        <v>2931</v>
      </c>
      <c r="D604" s="125">
        <v>40</v>
      </c>
      <c r="E604" s="253" t="s">
        <v>2942</v>
      </c>
      <c r="F604" s="256">
        <v>0.64</v>
      </c>
    </row>
    <row r="605" spans="2:6" x14ac:dyDescent="0.25">
      <c r="B605" s="234" t="s">
        <v>898</v>
      </c>
      <c r="C605" s="104" t="s">
        <v>247</v>
      </c>
      <c r="D605" s="125">
        <v>50</v>
      </c>
      <c r="E605" s="255" t="s">
        <v>2943</v>
      </c>
      <c r="F605" s="256">
        <v>1.302</v>
      </c>
    </row>
    <row r="606" spans="2:6" x14ac:dyDescent="0.25">
      <c r="B606" s="234" t="s">
        <v>898</v>
      </c>
      <c r="C606" s="104" t="s">
        <v>154</v>
      </c>
      <c r="D606" s="125">
        <v>90</v>
      </c>
      <c r="E606" s="255" t="s">
        <v>2944</v>
      </c>
      <c r="F606" s="256">
        <v>1.359</v>
      </c>
    </row>
  </sheetData>
  <autoFilter ref="B4:F606"/>
  <mergeCells count="2">
    <mergeCell ref="B3:F3"/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1110"/>
  <sheetViews>
    <sheetView topLeftCell="A553" zoomScale="145" zoomScaleNormal="145" workbookViewId="0">
      <selection activeCell="I553" sqref="I1:K1048576"/>
    </sheetView>
  </sheetViews>
  <sheetFormatPr defaultRowHeight="12.75" x14ac:dyDescent="0.25"/>
  <cols>
    <col min="1" max="1" width="5.85546875" style="11" customWidth="1"/>
    <col min="2" max="2" width="11.5703125" style="11" customWidth="1"/>
    <col min="3" max="3" width="17.140625" style="11" bestFit="1" customWidth="1"/>
    <col min="4" max="4" width="6.5703125" style="108" customWidth="1"/>
    <col min="5" max="5" width="7.7109375" style="108" bestFit="1" customWidth="1"/>
    <col min="6" max="6" width="33.5703125" style="108" customWidth="1"/>
    <col min="7" max="7" width="13.28515625" style="21" customWidth="1"/>
    <col min="8" max="8" width="10.28515625" style="250" bestFit="1" customWidth="1"/>
    <col min="9" max="16384" width="9.140625" style="11"/>
  </cols>
  <sheetData>
    <row r="1" spans="2:8" s="12" customFormat="1" ht="12.75" customHeight="1" x14ac:dyDescent="0.25">
      <c r="B1" s="304" t="s">
        <v>19</v>
      </c>
      <c r="C1" s="304"/>
      <c r="D1" s="304"/>
      <c r="E1" s="304"/>
      <c r="F1" s="304"/>
      <c r="G1" s="304"/>
      <c r="H1" s="304"/>
    </row>
    <row r="2" spans="2:8" s="12" customFormat="1" ht="1.5" customHeight="1" x14ac:dyDescent="0.25">
      <c r="D2" s="19"/>
      <c r="E2" s="19"/>
      <c r="F2" s="19"/>
      <c r="G2" s="19"/>
      <c r="H2" s="250"/>
    </row>
    <row r="3" spans="2:8" s="12" customFormat="1" ht="41.25" customHeight="1" x14ac:dyDescent="0.25">
      <c r="B3" s="305" t="s">
        <v>725</v>
      </c>
      <c r="C3" s="305"/>
      <c r="D3" s="305"/>
      <c r="E3" s="305"/>
      <c r="F3" s="305"/>
      <c r="G3" s="305"/>
      <c r="H3" s="305"/>
    </row>
    <row r="4" spans="2:8" ht="12.95" customHeight="1" x14ac:dyDescent="0.25">
      <c r="B4" s="61" t="s">
        <v>2795</v>
      </c>
      <c r="C4" s="111" t="s">
        <v>21</v>
      </c>
      <c r="D4" s="111" t="s">
        <v>236</v>
      </c>
      <c r="E4" s="111" t="s">
        <v>237</v>
      </c>
      <c r="F4" s="111" t="s">
        <v>209</v>
      </c>
      <c r="G4" s="111" t="s">
        <v>1</v>
      </c>
      <c r="H4" s="270" t="s">
        <v>2</v>
      </c>
    </row>
    <row r="5" spans="2:8" x14ac:dyDescent="0.25">
      <c r="B5" s="97" t="s">
        <v>2781</v>
      </c>
      <c r="C5" s="97">
        <v>20</v>
      </c>
      <c r="D5" s="97">
        <v>8</v>
      </c>
      <c r="E5" s="97">
        <v>2.2000000000000002</v>
      </c>
      <c r="F5" s="97" t="s">
        <v>2784</v>
      </c>
      <c r="G5" s="287" t="s">
        <v>3103</v>
      </c>
      <c r="H5" s="129">
        <v>0.38400000000000001</v>
      </c>
    </row>
    <row r="6" spans="2:8" x14ac:dyDescent="0.25">
      <c r="B6" s="234" t="s">
        <v>3001</v>
      </c>
      <c r="C6" s="55" t="s">
        <v>281</v>
      </c>
      <c r="D6" s="125">
        <v>14</v>
      </c>
      <c r="E6" s="238">
        <v>2.5</v>
      </c>
      <c r="F6" s="260" t="s">
        <v>3002</v>
      </c>
      <c r="G6" s="234"/>
      <c r="H6" s="256">
        <v>7.5999999999999998E-2</v>
      </c>
    </row>
    <row r="7" spans="2:8" ht="12.95" customHeight="1" x14ac:dyDescent="0.25">
      <c r="B7" s="97" t="s">
        <v>2781</v>
      </c>
      <c r="C7" s="97">
        <v>20</v>
      </c>
      <c r="D7" s="97">
        <v>15</v>
      </c>
      <c r="E7" s="97">
        <v>0.5</v>
      </c>
      <c r="F7" s="97" t="s">
        <v>2784</v>
      </c>
      <c r="G7" s="287" t="s">
        <v>3151</v>
      </c>
      <c r="H7" s="129">
        <v>7.2999999999999995E-2</v>
      </c>
    </row>
    <row r="8" spans="2:8" ht="12.95" customHeight="1" x14ac:dyDescent="0.25">
      <c r="B8" s="112" t="s">
        <v>2908</v>
      </c>
      <c r="C8" s="55" t="s">
        <v>154</v>
      </c>
      <c r="D8" s="125">
        <v>16</v>
      </c>
      <c r="E8" s="125">
        <v>3</v>
      </c>
      <c r="F8" s="260" t="s">
        <v>3003</v>
      </c>
      <c r="G8" s="234"/>
      <c r="H8" s="256">
        <v>1.4E-2</v>
      </c>
    </row>
    <row r="9" spans="2:8" ht="12.95" customHeight="1" x14ac:dyDescent="0.25">
      <c r="B9" s="112" t="s">
        <v>2908</v>
      </c>
      <c r="C9" s="55" t="s">
        <v>154</v>
      </c>
      <c r="D9" s="125">
        <v>16</v>
      </c>
      <c r="E9" s="125">
        <v>4</v>
      </c>
      <c r="F9" s="260" t="s">
        <v>3003</v>
      </c>
      <c r="G9" s="234"/>
      <c r="H9" s="254">
        <v>2E-3</v>
      </c>
    </row>
    <row r="10" spans="2:8" ht="12.95" customHeight="1" x14ac:dyDescent="0.2">
      <c r="B10" s="134" t="s">
        <v>3001</v>
      </c>
      <c r="C10" s="134" t="s">
        <v>3100</v>
      </c>
      <c r="D10" s="134">
        <v>18</v>
      </c>
      <c r="E10" s="134">
        <v>0.3</v>
      </c>
      <c r="F10" s="22"/>
      <c r="G10" s="22" t="s">
        <v>3101</v>
      </c>
      <c r="H10" s="181">
        <v>6.25</v>
      </c>
    </row>
    <row r="11" spans="2:8" ht="12.95" customHeight="1" x14ac:dyDescent="0.25">
      <c r="B11" s="97" t="s">
        <v>2781</v>
      </c>
      <c r="C11" s="97">
        <v>35</v>
      </c>
      <c r="D11" s="97">
        <v>18</v>
      </c>
      <c r="E11" s="97">
        <v>1</v>
      </c>
      <c r="F11" s="97" t="s">
        <v>2784</v>
      </c>
      <c r="G11" s="287" t="s">
        <v>3152</v>
      </c>
      <c r="H11" s="129">
        <v>1.579</v>
      </c>
    </row>
    <row r="12" spans="2:8" ht="12.95" customHeight="1" x14ac:dyDescent="0.25">
      <c r="B12" s="97" t="s">
        <v>2781</v>
      </c>
      <c r="C12" s="97" t="s">
        <v>210</v>
      </c>
      <c r="D12" s="97">
        <v>18</v>
      </c>
      <c r="E12" s="97">
        <v>2</v>
      </c>
      <c r="F12" s="97" t="s">
        <v>2784</v>
      </c>
      <c r="G12" s="287" t="s">
        <v>3153</v>
      </c>
      <c r="H12" s="129">
        <v>0.26700000000000002</v>
      </c>
    </row>
    <row r="13" spans="2:8" ht="12.95" customHeight="1" x14ac:dyDescent="0.25">
      <c r="B13" s="97" t="s">
        <v>2781</v>
      </c>
      <c r="C13" s="97">
        <v>20</v>
      </c>
      <c r="D13" s="97">
        <v>18</v>
      </c>
      <c r="E13" s="97">
        <v>2</v>
      </c>
      <c r="F13" s="97" t="s">
        <v>2784</v>
      </c>
      <c r="G13" s="287" t="s">
        <v>3154</v>
      </c>
      <c r="H13" s="129">
        <v>0.06</v>
      </c>
    </row>
    <row r="14" spans="2:8" ht="12.75" customHeight="1" x14ac:dyDescent="0.2">
      <c r="B14" s="134" t="s">
        <v>3001</v>
      </c>
      <c r="C14" s="134" t="s">
        <v>3102</v>
      </c>
      <c r="D14" s="134">
        <v>18</v>
      </c>
      <c r="E14" s="134">
        <v>3</v>
      </c>
      <c r="F14" s="22"/>
      <c r="G14" s="22" t="s">
        <v>3103</v>
      </c>
      <c r="H14" s="181">
        <v>5.0000000000000001E-3</v>
      </c>
    </row>
    <row r="15" spans="2:8" x14ac:dyDescent="0.25">
      <c r="B15" s="97" t="s">
        <v>2781</v>
      </c>
      <c r="C15" s="97" t="s">
        <v>210</v>
      </c>
      <c r="D15" s="97">
        <v>18</v>
      </c>
      <c r="E15" s="97">
        <v>3</v>
      </c>
      <c r="F15" s="97" t="s">
        <v>2784</v>
      </c>
      <c r="G15" s="287" t="s">
        <v>3155</v>
      </c>
      <c r="H15" s="129">
        <v>0.30399999999999999</v>
      </c>
    </row>
    <row r="16" spans="2:8" x14ac:dyDescent="0.25">
      <c r="B16" s="97" t="s">
        <v>2781</v>
      </c>
      <c r="C16" s="97">
        <v>20</v>
      </c>
      <c r="D16" s="97">
        <v>18</v>
      </c>
      <c r="E16" s="97">
        <v>5</v>
      </c>
      <c r="F16" s="97" t="s">
        <v>2784</v>
      </c>
      <c r="G16" s="287" t="s">
        <v>3156</v>
      </c>
      <c r="H16" s="129">
        <v>2.391</v>
      </c>
    </row>
    <row r="17" spans="2:8" x14ac:dyDescent="0.25">
      <c r="B17" s="112" t="s">
        <v>2908</v>
      </c>
      <c r="C17" s="106">
        <v>20</v>
      </c>
      <c r="D17" s="234">
        <v>18</v>
      </c>
      <c r="E17" s="106">
        <v>20</v>
      </c>
      <c r="F17" s="198" t="s">
        <v>2785</v>
      </c>
      <c r="G17" s="198" t="s">
        <v>2846</v>
      </c>
      <c r="H17" s="201">
        <v>4.45</v>
      </c>
    </row>
    <row r="18" spans="2:8" x14ac:dyDescent="0.25">
      <c r="B18" s="97" t="s">
        <v>2781</v>
      </c>
      <c r="C18" s="97">
        <v>35</v>
      </c>
      <c r="D18" s="97">
        <v>20</v>
      </c>
      <c r="E18" s="97">
        <v>1</v>
      </c>
      <c r="F18" s="97" t="s">
        <v>2784</v>
      </c>
      <c r="G18" s="287" t="s">
        <v>3157</v>
      </c>
      <c r="H18" s="129">
        <v>9.7000000000000003E-2</v>
      </c>
    </row>
    <row r="19" spans="2:8" x14ac:dyDescent="0.2">
      <c r="B19" s="134" t="s">
        <v>2812</v>
      </c>
      <c r="C19" s="134">
        <v>3</v>
      </c>
      <c r="D19" s="134">
        <v>20</v>
      </c>
      <c r="E19" s="134">
        <v>2.8</v>
      </c>
      <c r="F19" s="22" t="s">
        <v>2892</v>
      </c>
      <c r="G19" s="22" t="s">
        <v>3146</v>
      </c>
      <c r="H19" s="181">
        <v>1.1399999999999999</v>
      </c>
    </row>
    <row r="20" spans="2:8" ht="12.95" customHeight="1" x14ac:dyDescent="0.25">
      <c r="B20" s="187" t="s">
        <v>2781</v>
      </c>
      <c r="C20" s="112"/>
      <c r="D20" s="112">
        <v>20</v>
      </c>
      <c r="E20" s="112">
        <v>3</v>
      </c>
      <c r="F20" s="187" t="s">
        <v>2784</v>
      </c>
      <c r="G20" s="70">
        <v>8</v>
      </c>
      <c r="H20" s="277">
        <v>0.01</v>
      </c>
    </row>
    <row r="21" spans="2:8" ht="12.95" customHeight="1" x14ac:dyDescent="0.2">
      <c r="B21" s="203" t="s">
        <v>2781</v>
      </c>
      <c r="C21" s="234">
        <v>10</v>
      </c>
      <c r="D21" s="234">
        <v>21</v>
      </c>
      <c r="E21" s="106">
        <v>2.5</v>
      </c>
      <c r="F21" s="198" t="s">
        <v>2784</v>
      </c>
      <c r="G21" s="86">
        <v>6</v>
      </c>
      <c r="H21" s="199">
        <v>9.77</v>
      </c>
    </row>
    <row r="22" spans="2:8" ht="12.95" customHeight="1" x14ac:dyDescent="0.2">
      <c r="B22" s="134" t="s">
        <v>3001</v>
      </c>
      <c r="C22" s="134" t="s">
        <v>3102</v>
      </c>
      <c r="D22" s="134">
        <v>21</v>
      </c>
      <c r="E22" s="134">
        <v>3</v>
      </c>
      <c r="F22" s="22"/>
      <c r="G22" s="22" t="s">
        <v>3105</v>
      </c>
      <c r="H22" s="181">
        <v>0.03</v>
      </c>
    </row>
    <row r="23" spans="2:8" ht="12.95" customHeight="1" x14ac:dyDescent="0.2">
      <c r="B23" s="134" t="s">
        <v>3001</v>
      </c>
      <c r="C23" s="134" t="s">
        <v>3102</v>
      </c>
      <c r="D23" s="134">
        <v>21.34</v>
      </c>
      <c r="E23" s="134">
        <v>4.78</v>
      </c>
      <c r="F23" s="22"/>
      <c r="G23" s="22" t="s">
        <v>3104</v>
      </c>
      <c r="H23" s="181">
        <v>5.5E-2</v>
      </c>
    </row>
    <row r="24" spans="2:8" x14ac:dyDescent="0.25">
      <c r="B24" s="187" t="s">
        <v>2781</v>
      </c>
      <c r="C24" s="112">
        <v>20</v>
      </c>
      <c r="D24" s="112">
        <v>22</v>
      </c>
      <c r="E24" s="112">
        <v>1.5</v>
      </c>
      <c r="F24" s="187" t="s">
        <v>2784</v>
      </c>
      <c r="G24" s="70">
        <v>7</v>
      </c>
      <c r="H24" s="277">
        <v>0.11700000000000001</v>
      </c>
    </row>
    <row r="25" spans="2:8" x14ac:dyDescent="0.2">
      <c r="B25" s="203" t="s">
        <v>2781</v>
      </c>
      <c r="C25" s="106">
        <v>20</v>
      </c>
      <c r="D25" s="106">
        <v>25</v>
      </c>
      <c r="E25" s="106">
        <v>2</v>
      </c>
      <c r="F25" s="198" t="s">
        <v>2784</v>
      </c>
      <c r="G25" s="239">
        <v>6</v>
      </c>
      <c r="H25" s="199">
        <v>1.17</v>
      </c>
    </row>
    <row r="26" spans="2:8" x14ac:dyDescent="0.2">
      <c r="B26" s="203" t="s">
        <v>2781</v>
      </c>
      <c r="C26" s="234" t="s">
        <v>210</v>
      </c>
      <c r="D26" s="234">
        <v>25</v>
      </c>
      <c r="E26" s="106">
        <v>2</v>
      </c>
      <c r="F26" s="198" t="s">
        <v>2784</v>
      </c>
      <c r="G26" s="200" t="s">
        <v>283</v>
      </c>
      <c r="H26" s="199">
        <v>4.9000000000000002E-2</v>
      </c>
    </row>
    <row r="27" spans="2:8" ht="12.95" customHeight="1" x14ac:dyDescent="0.2">
      <c r="B27" s="134" t="s">
        <v>3001</v>
      </c>
      <c r="C27" s="134" t="s">
        <v>3108</v>
      </c>
      <c r="D27" s="134">
        <v>25</v>
      </c>
      <c r="E27" s="134">
        <v>2</v>
      </c>
      <c r="F27" s="22"/>
      <c r="G27" s="22" t="s">
        <v>3109</v>
      </c>
      <c r="H27" s="181">
        <v>0.13</v>
      </c>
    </row>
    <row r="28" spans="2:8" ht="12.95" customHeight="1" x14ac:dyDescent="0.2">
      <c r="B28" s="203" t="s">
        <v>2781</v>
      </c>
      <c r="C28" s="106">
        <v>20</v>
      </c>
      <c r="D28" s="106">
        <v>25</v>
      </c>
      <c r="E28" s="106">
        <v>2.5</v>
      </c>
      <c r="F28" s="198" t="s">
        <v>2784</v>
      </c>
      <c r="G28" s="239">
        <v>12</v>
      </c>
      <c r="H28" s="199">
        <v>5.0999999999999996</v>
      </c>
    </row>
    <row r="29" spans="2:8" ht="12.95" customHeight="1" x14ac:dyDescent="0.25">
      <c r="B29" s="187" t="s">
        <v>2781</v>
      </c>
      <c r="C29" s="112">
        <v>20</v>
      </c>
      <c r="D29" s="112">
        <v>25</v>
      </c>
      <c r="E29" s="112">
        <v>2.5</v>
      </c>
      <c r="F29" s="240" t="s">
        <v>2784</v>
      </c>
      <c r="G29" s="70"/>
      <c r="H29" s="277">
        <v>0.154</v>
      </c>
    </row>
    <row r="30" spans="2:8" ht="12.95" customHeight="1" x14ac:dyDescent="0.25">
      <c r="B30" s="97" t="s">
        <v>2781</v>
      </c>
      <c r="C30" s="97">
        <v>20</v>
      </c>
      <c r="D30" s="97">
        <v>25</v>
      </c>
      <c r="E30" s="97">
        <v>3</v>
      </c>
      <c r="F30" s="97" t="s">
        <v>2784</v>
      </c>
      <c r="G30" s="287" t="s">
        <v>3114</v>
      </c>
      <c r="H30" s="129">
        <v>1.1020000000000001</v>
      </c>
    </row>
    <row r="31" spans="2:8" ht="12.95" customHeight="1" x14ac:dyDescent="0.25">
      <c r="B31" s="112" t="s">
        <v>2908</v>
      </c>
      <c r="C31" s="97" t="s">
        <v>210</v>
      </c>
      <c r="D31" s="97">
        <v>25</v>
      </c>
      <c r="E31" s="97">
        <v>3</v>
      </c>
      <c r="F31" s="287" t="s">
        <v>2785</v>
      </c>
      <c r="G31" s="287" t="s">
        <v>3170</v>
      </c>
      <c r="H31" s="129">
        <v>2.1779999999999999</v>
      </c>
    </row>
    <row r="32" spans="2:8" ht="12.95" customHeight="1" x14ac:dyDescent="0.25">
      <c r="B32" s="112" t="s">
        <v>2908</v>
      </c>
      <c r="C32" s="55" t="s">
        <v>154</v>
      </c>
      <c r="D32" s="263">
        <v>25</v>
      </c>
      <c r="E32" s="261">
        <v>3.2</v>
      </c>
      <c r="F32" s="260" t="s">
        <v>2892</v>
      </c>
      <c r="G32" s="234"/>
      <c r="H32" s="202">
        <v>5.0000000000000001E-3</v>
      </c>
    </row>
    <row r="33" spans="2:8" ht="12.95" customHeight="1" x14ac:dyDescent="0.2">
      <c r="B33" s="134" t="s">
        <v>3001</v>
      </c>
      <c r="C33" s="134" t="s">
        <v>3106</v>
      </c>
      <c r="D33" s="134">
        <v>25</v>
      </c>
      <c r="E33" s="134">
        <v>3.5</v>
      </c>
      <c r="F33" s="22"/>
      <c r="G33" s="22" t="s">
        <v>3107</v>
      </c>
      <c r="H33" s="181">
        <v>0.01</v>
      </c>
    </row>
    <row r="34" spans="2:8" ht="12.95" customHeight="1" x14ac:dyDescent="0.25">
      <c r="B34" s="97" t="s">
        <v>3169</v>
      </c>
      <c r="C34" s="97" t="s">
        <v>314</v>
      </c>
      <c r="D34" s="97">
        <v>25</v>
      </c>
      <c r="E34" s="97">
        <v>6</v>
      </c>
      <c r="F34" s="287" t="s">
        <v>234</v>
      </c>
      <c r="G34" s="287" t="s">
        <v>3412</v>
      </c>
      <c r="H34" s="129">
        <v>8.4000000000000005E-2</v>
      </c>
    </row>
    <row r="35" spans="2:8" ht="12.95" customHeight="1" x14ac:dyDescent="0.25">
      <c r="B35" s="112" t="s">
        <v>2908</v>
      </c>
      <c r="C35" s="97" t="s">
        <v>690</v>
      </c>
      <c r="D35" s="97">
        <v>26</v>
      </c>
      <c r="E35" s="97">
        <v>8</v>
      </c>
      <c r="F35" s="287" t="s">
        <v>2785</v>
      </c>
      <c r="G35" s="287" t="s">
        <v>3171</v>
      </c>
      <c r="H35" s="129">
        <v>0.495</v>
      </c>
    </row>
    <row r="36" spans="2:8" x14ac:dyDescent="0.25">
      <c r="B36" s="112" t="s">
        <v>2908</v>
      </c>
      <c r="C36" s="55" t="s">
        <v>154</v>
      </c>
      <c r="D36" s="263">
        <v>28</v>
      </c>
      <c r="E36" s="243">
        <v>3</v>
      </c>
      <c r="F36" s="260" t="s">
        <v>3003</v>
      </c>
      <c r="G36" s="234"/>
      <c r="H36" s="202">
        <v>6.0000000000000001E-3</v>
      </c>
    </row>
    <row r="37" spans="2:8" x14ac:dyDescent="0.25">
      <c r="B37" s="97" t="s">
        <v>2781</v>
      </c>
      <c r="C37" s="97">
        <v>20</v>
      </c>
      <c r="D37" s="97">
        <v>28</v>
      </c>
      <c r="E37" s="97">
        <v>3</v>
      </c>
      <c r="F37" s="97" t="s">
        <v>2784</v>
      </c>
      <c r="G37" s="287" t="s">
        <v>3158</v>
      </c>
      <c r="H37" s="129">
        <v>0.14799999999999999</v>
      </c>
    </row>
    <row r="38" spans="2:8" x14ac:dyDescent="0.25">
      <c r="B38" s="112" t="s">
        <v>2908</v>
      </c>
      <c r="C38" s="97" t="s">
        <v>210</v>
      </c>
      <c r="D38" s="97">
        <v>28</v>
      </c>
      <c r="E38" s="97">
        <v>3</v>
      </c>
      <c r="F38" s="287" t="s">
        <v>2785</v>
      </c>
      <c r="G38" s="287" t="s">
        <v>3172</v>
      </c>
      <c r="H38" s="129">
        <v>1.486</v>
      </c>
    </row>
    <row r="39" spans="2:8" x14ac:dyDescent="0.25">
      <c r="B39" s="187" t="s">
        <v>2781</v>
      </c>
      <c r="C39" s="112"/>
      <c r="D39" s="112">
        <v>28</v>
      </c>
      <c r="E39" s="112">
        <v>4</v>
      </c>
      <c r="F39" s="240" t="s">
        <v>2784</v>
      </c>
      <c r="G39" s="70">
        <v>8</v>
      </c>
      <c r="H39" s="277">
        <v>0.04</v>
      </c>
    </row>
    <row r="40" spans="2:8" x14ac:dyDescent="0.25">
      <c r="B40" s="112" t="s">
        <v>2908</v>
      </c>
      <c r="C40" s="55" t="s">
        <v>154</v>
      </c>
      <c r="D40" s="263">
        <v>28</v>
      </c>
      <c r="E40" s="243">
        <v>4</v>
      </c>
      <c r="F40" s="260" t="s">
        <v>3003</v>
      </c>
      <c r="G40" s="234"/>
      <c r="H40" s="262">
        <v>1.6E-2</v>
      </c>
    </row>
    <row r="41" spans="2:8" x14ac:dyDescent="0.25">
      <c r="B41" s="97" t="s">
        <v>3169</v>
      </c>
      <c r="C41" s="97" t="s">
        <v>314</v>
      </c>
      <c r="D41" s="97">
        <v>28</v>
      </c>
      <c r="E41" s="97">
        <v>4</v>
      </c>
      <c r="F41" s="287" t="s">
        <v>234</v>
      </c>
      <c r="G41" s="287" t="s">
        <v>3413</v>
      </c>
      <c r="H41" s="129">
        <v>1.22</v>
      </c>
    </row>
    <row r="42" spans="2:8" x14ac:dyDescent="0.25">
      <c r="B42" s="112" t="s">
        <v>2908</v>
      </c>
      <c r="C42" s="55" t="s">
        <v>154</v>
      </c>
      <c r="D42" s="263">
        <v>28</v>
      </c>
      <c r="E42" s="261">
        <v>4.5</v>
      </c>
      <c r="F42" s="260" t="s">
        <v>3003</v>
      </c>
      <c r="G42" s="234"/>
      <c r="H42" s="202">
        <v>6.0000000000000001E-3</v>
      </c>
    </row>
    <row r="43" spans="2:8" x14ac:dyDescent="0.25">
      <c r="B43" s="97" t="s">
        <v>2781</v>
      </c>
      <c r="C43" s="97">
        <v>10</v>
      </c>
      <c r="D43" s="97">
        <v>30</v>
      </c>
      <c r="E43" s="97">
        <v>3</v>
      </c>
      <c r="F43" s="97" t="s">
        <v>2784</v>
      </c>
      <c r="G43" s="287" t="s">
        <v>3159</v>
      </c>
      <c r="H43" s="129">
        <v>0.746</v>
      </c>
    </row>
    <row r="44" spans="2:8" x14ac:dyDescent="0.25">
      <c r="B44" s="97" t="s">
        <v>2781</v>
      </c>
      <c r="C44" s="97">
        <v>45</v>
      </c>
      <c r="D44" s="97">
        <v>30</v>
      </c>
      <c r="E44" s="97">
        <v>4.5</v>
      </c>
      <c r="F44" s="97" t="s">
        <v>2784</v>
      </c>
      <c r="G44" s="287" t="s">
        <v>3160</v>
      </c>
      <c r="H44" s="129">
        <v>0.25</v>
      </c>
    </row>
    <row r="45" spans="2:8" x14ac:dyDescent="0.25">
      <c r="B45" s="97" t="s">
        <v>2781</v>
      </c>
      <c r="C45" s="97">
        <v>10</v>
      </c>
      <c r="D45" s="97">
        <v>32</v>
      </c>
      <c r="E45" s="97">
        <v>2</v>
      </c>
      <c r="F45" s="97" t="s">
        <v>2784</v>
      </c>
      <c r="G45" s="287" t="s">
        <v>3161</v>
      </c>
      <c r="H45" s="129">
        <v>0.03</v>
      </c>
    </row>
    <row r="46" spans="2:8" x14ac:dyDescent="0.2">
      <c r="B46" s="134" t="s">
        <v>2812</v>
      </c>
      <c r="C46" s="134">
        <v>3</v>
      </c>
      <c r="D46" s="134">
        <v>32</v>
      </c>
      <c r="E46" s="134">
        <v>2.8</v>
      </c>
      <c r="F46" s="22" t="s">
        <v>2892</v>
      </c>
      <c r="G46" s="22" t="s">
        <v>3147</v>
      </c>
      <c r="H46" s="181">
        <v>0.60499999999999998</v>
      </c>
    </row>
    <row r="47" spans="2:8" x14ac:dyDescent="0.25">
      <c r="B47" s="112" t="s">
        <v>2908</v>
      </c>
      <c r="C47" s="55" t="s">
        <v>154</v>
      </c>
      <c r="D47" s="263">
        <v>32</v>
      </c>
      <c r="E47" s="243">
        <v>3</v>
      </c>
      <c r="F47" s="260" t="s">
        <v>3003</v>
      </c>
      <c r="G47" s="234"/>
      <c r="H47" s="202">
        <v>2.06</v>
      </c>
    </row>
    <row r="48" spans="2:8" x14ac:dyDescent="0.25">
      <c r="B48" s="97" t="s">
        <v>3169</v>
      </c>
      <c r="C48" s="97" t="s">
        <v>3414</v>
      </c>
      <c r="D48" s="97">
        <v>32</v>
      </c>
      <c r="E48" s="97">
        <v>4</v>
      </c>
      <c r="F48" s="287" t="s">
        <v>234</v>
      </c>
      <c r="G48" s="287" t="s">
        <v>3415</v>
      </c>
      <c r="H48" s="129">
        <v>0.31</v>
      </c>
    </row>
    <row r="49" spans="2:8" x14ac:dyDescent="0.25">
      <c r="B49" s="112" t="s">
        <v>2908</v>
      </c>
      <c r="C49" s="55">
        <v>20</v>
      </c>
      <c r="D49" s="263">
        <v>32</v>
      </c>
      <c r="E49" s="263">
        <v>6</v>
      </c>
      <c r="F49" s="260" t="s">
        <v>2819</v>
      </c>
      <c r="G49" s="234"/>
      <c r="H49" s="202">
        <f>4.747-0.025-0.096-0.05</f>
        <v>4.5759999999999996</v>
      </c>
    </row>
    <row r="50" spans="2:8" x14ac:dyDescent="0.25">
      <c r="B50" s="112" t="s">
        <v>2908</v>
      </c>
      <c r="C50" s="97" t="s">
        <v>218</v>
      </c>
      <c r="D50" s="97">
        <v>33</v>
      </c>
      <c r="E50" s="97">
        <v>4.5</v>
      </c>
      <c r="F50" s="287" t="s">
        <v>2785</v>
      </c>
      <c r="G50" s="287" t="s">
        <v>3173</v>
      </c>
      <c r="H50" s="129">
        <v>0.09</v>
      </c>
    </row>
    <row r="51" spans="2:8" x14ac:dyDescent="0.2">
      <c r="B51" s="134" t="s">
        <v>3001</v>
      </c>
      <c r="C51" s="134" t="s">
        <v>3102</v>
      </c>
      <c r="D51" s="134">
        <v>33.4</v>
      </c>
      <c r="E51" s="134">
        <v>3.38</v>
      </c>
      <c r="F51" s="22"/>
      <c r="G51" s="22" t="s">
        <v>3110</v>
      </c>
      <c r="H51" s="181">
        <v>0.52</v>
      </c>
    </row>
    <row r="52" spans="2:8" x14ac:dyDescent="0.25">
      <c r="B52" s="187" t="s">
        <v>2781</v>
      </c>
      <c r="C52" s="112">
        <v>20</v>
      </c>
      <c r="D52" s="112">
        <v>34</v>
      </c>
      <c r="E52" s="112">
        <v>3</v>
      </c>
      <c r="F52" s="187" t="s">
        <v>2784</v>
      </c>
      <c r="G52" s="70">
        <v>8</v>
      </c>
      <c r="H52" s="277">
        <v>3.6999999999999998E-2</v>
      </c>
    </row>
    <row r="53" spans="2:8" x14ac:dyDescent="0.25">
      <c r="B53" s="187" t="s">
        <v>2781</v>
      </c>
      <c r="C53" s="112">
        <v>20</v>
      </c>
      <c r="D53" s="112">
        <v>34</v>
      </c>
      <c r="E53" s="112">
        <v>3.5</v>
      </c>
      <c r="F53" s="112" t="s">
        <v>2784</v>
      </c>
      <c r="G53" s="70"/>
      <c r="H53" s="277">
        <v>0.3</v>
      </c>
    </row>
    <row r="54" spans="2:8" x14ac:dyDescent="0.25">
      <c r="B54" s="187" t="s">
        <v>2781</v>
      </c>
      <c r="C54" s="112">
        <v>20</v>
      </c>
      <c r="D54" s="112">
        <v>34</v>
      </c>
      <c r="E54" s="112">
        <v>4</v>
      </c>
      <c r="F54" s="112" t="s">
        <v>2784</v>
      </c>
      <c r="G54" s="70"/>
      <c r="H54" s="277">
        <v>1.94</v>
      </c>
    </row>
    <row r="55" spans="2:8" x14ac:dyDescent="0.25">
      <c r="B55" s="97" t="s">
        <v>2781</v>
      </c>
      <c r="C55" s="97" t="s">
        <v>212</v>
      </c>
      <c r="D55" s="97">
        <v>34</v>
      </c>
      <c r="E55" s="97">
        <v>7.5</v>
      </c>
      <c r="F55" s="97" t="s">
        <v>2784</v>
      </c>
      <c r="G55" s="287" t="s">
        <v>3162</v>
      </c>
      <c r="H55" s="129">
        <v>0.17499999999999999</v>
      </c>
    </row>
    <row r="56" spans="2:8" x14ac:dyDescent="0.2">
      <c r="B56" s="203" t="s">
        <v>2781</v>
      </c>
      <c r="C56" s="106">
        <v>20</v>
      </c>
      <c r="D56" s="106">
        <v>34</v>
      </c>
      <c r="E56" s="106">
        <v>8</v>
      </c>
      <c r="F56" s="198" t="s">
        <v>2784</v>
      </c>
      <c r="G56" s="198" t="s">
        <v>284</v>
      </c>
      <c r="H56" s="199">
        <v>2.75</v>
      </c>
    </row>
    <row r="57" spans="2:8" x14ac:dyDescent="0.25">
      <c r="B57" s="97" t="s">
        <v>3169</v>
      </c>
      <c r="C57" s="97" t="s">
        <v>314</v>
      </c>
      <c r="D57" s="97">
        <v>36</v>
      </c>
      <c r="E57" s="97">
        <v>5</v>
      </c>
      <c r="F57" s="287" t="s">
        <v>234</v>
      </c>
      <c r="G57" s="287" t="s">
        <v>3416</v>
      </c>
      <c r="H57" s="129">
        <v>8.7999999999999995E-2</v>
      </c>
    </row>
    <row r="58" spans="2:8" x14ac:dyDescent="0.25">
      <c r="B58" s="97" t="s">
        <v>3169</v>
      </c>
      <c r="C58" s="97" t="s">
        <v>314</v>
      </c>
      <c r="D58" s="97">
        <v>38</v>
      </c>
      <c r="E58" s="97">
        <v>3.5</v>
      </c>
      <c r="F58" s="287" t="s">
        <v>234</v>
      </c>
      <c r="G58" s="287" t="s">
        <v>3417</v>
      </c>
      <c r="H58" s="129">
        <v>1.01</v>
      </c>
    </row>
    <row r="59" spans="2:8" x14ac:dyDescent="0.25">
      <c r="B59" s="234" t="s">
        <v>3169</v>
      </c>
      <c r="C59" s="55" t="s">
        <v>314</v>
      </c>
      <c r="D59" s="263">
        <v>38</v>
      </c>
      <c r="E59" s="263">
        <v>5</v>
      </c>
      <c r="F59" s="260" t="s">
        <v>3003</v>
      </c>
      <c r="G59" s="234"/>
      <c r="H59" s="202">
        <f>0.085-0.025</f>
        <v>6.0000000000000005E-2</v>
      </c>
    </row>
    <row r="60" spans="2:8" x14ac:dyDescent="0.25">
      <c r="B60" s="97" t="s">
        <v>3169</v>
      </c>
      <c r="C60" s="97" t="s">
        <v>3414</v>
      </c>
      <c r="D60" s="97">
        <v>38</v>
      </c>
      <c r="E60" s="97">
        <v>6</v>
      </c>
      <c r="F60" s="287" t="s">
        <v>234</v>
      </c>
      <c r="G60" s="287" t="s">
        <v>3246</v>
      </c>
      <c r="H60" s="129">
        <v>3.4000000000000002E-2</v>
      </c>
    </row>
    <row r="61" spans="2:8" x14ac:dyDescent="0.25">
      <c r="B61" s="187" t="s">
        <v>2781</v>
      </c>
      <c r="C61" s="112"/>
      <c r="D61" s="112">
        <v>38</v>
      </c>
      <c r="E61" s="187">
        <v>7</v>
      </c>
      <c r="F61" s="112" t="s">
        <v>2784</v>
      </c>
      <c r="G61" s="70">
        <v>6</v>
      </c>
      <c r="H61" s="277">
        <v>0.44900000000000001</v>
      </c>
    </row>
    <row r="62" spans="2:8" x14ac:dyDescent="0.25">
      <c r="B62" s="97" t="s">
        <v>2781</v>
      </c>
      <c r="C62" s="97" t="s">
        <v>301</v>
      </c>
      <c r="D62" s="97">
        <v>38</v>
      </c>
      <c r="E62" s="97">
        <v>8</v>
      </c>
      <c r="F62" s="97" t="s">
        <v>2784</v>
      </c>
      <c r="G62" s="287" t="s">
        <v>3163</v>
      </c>
      <c r="H62" s="129">
        <v>2.7490000000000001</v>
      </c>
    </row>
    <row r="63" spans="2:8" x14ac:dyDescent="0.25">
      <c r="B63" s="97" t="s">
        <v>2781</v>
      </c>
      <c r="C63" s="97">
        <v>20</v>
      </c>
      <c r="D63" s="97">
        <v>40</v>
      </c>
      <c r="E63" s="97">
        <v>2</v>
      </c>
      <c r="F63" s="97" t="s">
        <v>2784</v>
      </c>
      <c r="G63" s="287" t="s">
        <v>3164</v>
      </c>
      <c r="H63" s="129">
        <v>3.7999999999999999E-2</v>
      </c>
    </row>
    <row r="64" spans="2:8" x14ac:dyDescent="0.2">
      <c r="B64" s="134" t="s">
        <v>2812</v>
      </c>
      <c r="C64" s="134">
        <v>3</v>
      </c>
      <c r="D64" s="134">
        <v>40</v>
      </c>
      <c r="E64" s="134">
        <v>3.2</v>
      </c>
      <c r="F64" s="22" t="s">
        <v>2892</v>
      </c>
      <c r="G64" s="22" t="s">
        <v>3148</v>
      </c>
      <c r="H64" s="181">
        <v>4.2080000000000002</v>
      </c>
    </row>
    <row r="65" spans="2:8" x14ac:dyDescent="0.2">
      <c r="B65" s="134" t="s">
        <v>2792</v>
      </c>
      <c r="C65" s="134">
        <v>3</v>
      </c>
      <c r="D65" s="134">
        <v>40</v>
      </c>
      <c r="E65" s="134">
        <v>3.2</v>
      </c>
      <c r="F65" s="22" t="s">
        <v>2892</v>
      </c>
      <c r="G65" s="22" t="s">
        <v>3149</v>
      </c>
      <c r="H65" s="181">
        <v>0.24199999999999999</v>
      </c>
    </row>
    <row r="66" spans="2:8" x14ac:dyDescent="0.2">
      <c r="B66" s="134" t="s">
        <v>2792</v>
      </c>
      <c r="C66" s="134">
        <v>3</v>
      </c>
      <c r="D66" s="134">
        <v>40</v>
      </c>
      <c r="E66" s="134">
        <v>3.5</v>
      </c>
      <c r="F66" s="22" t="s">
        <v>2892</v>
      </c>
      <c r="G66" s="22" t="s">
        <v>3051</v>
      </c>
      <c r="H66" s="181">
        <v>3.0649999999999999</v>
      </c>
    </row>
    <row r="67" spans="2:8" x14ac:dyDescent="0.25">
      <c r="B67" s="97" t="s">
        <v>3169</v>
      </c>
      <c r="C67" s="97" t="s">
        <v>314</v>
      </c>
      <c r="D67" s="97">
        <v>42</v>
      </c>
      <c r="E67" s="97">
        <v>3</v>
      </c>
      <c r="F67" s="287" t="s">
        <v>234</v>
      </c>
      <c r="G67" s="287" t="s">
        <v>3418</v>
      </c>
      <c r="H67" s="129">
        <v>0.38500000000000001</v>
      </c>
    </row>
    <row r="68" spans="2:8" x14ac:dyDescent="0.25">
      <c r="B68" s="187" t="s">
        <v>2781</v>
      </c>
      <c r="C68" s="112">
        <v>20</v>
      </c>
      <c r="D68" s="112">
        <v>42</v>
      </c>
      <c r="E68" s="112">
        <v>3.5</v>
      </c>
      <c r="F68" s="112" t="s">
        <v>2784</v>
      </c>
      <c r="G68" s="234" t="s">
        <v>2873</v>
      </c>
      <c r="H68" s="277">
        <v>6.3E-2</v>
      </c>
    </row>
    <row r="69" spans="2:8" x14ac:dyDescent="0.25">
      <c r="B69" s="187" t="s">
        <v>2781</v>
      </c>
      <c r="C69" s="112">
        <v>20</v>
      </c>
      <c r="D69" s="112">
        <v>42</v>
      </c>
      <c r="E69" s="112">
        <v>3.5</v>
      </c>
      <c r="F69" s="112" t="s">
        <v>2784</v>
      </c>
      <c r="G69" s="234"/>
      <c r="H69" s="277">
        <v>0.27800000000000002</v>
      </c>
    </row>
    <row r="70" spans="2:8" x14ac:dyDescent="0.25">
      <c r="B70" s="234" t="s">
        <v>3169</v>
      </c>
      <c r="C70" s="55" t="s">
        <v>3020</v>
      </c>
      <c r="D70" s="263">
        <v>42</v>
      </c>
      <c r="E70" s="263">
        <v>4</v>
      </c>
      <c r="F70" s="260" t="s">
        <v>3003</v>
      </c>
      <c r="G70" s="234"/>
      <c r="H70" s="262">
        <v>6.4000000000000001E-2</v>
      </c>
    </row>
    <row r="71" spans="2:8" x14ac:dyDescent="0.25">
      <c r="B71" s="97" t="s">
        <v>3169</v>
      </c>
      <c r="C71" s="97" t="s">
        <v>314</v>
      </c>
      <c r="D71" s="97">
        <v>42</v>
      </c>
      <c r="E71" s="97">
        <v>4</v>
      </c>
      <c r="F71" s="287" t="s">
        <v>234</v>
      </c>
      <c r="G71" s="287" t="s">
        <v>3419</v>
      </c>
      <c r="H71" s="129">
        <v>3.0950000000000002</v>
      </c>
    </row>
    <row r="72" spans="2:8" x14ac:dyDescent="0.25">
      <c r="B72" s="112" t="s">
        <v>2908</v>
      </c>
      <c r="C72" s="112">
        <v>20</v>
      </c>
      <c r="D72" s="112">
        <v>42</v>
      </c>
      <c r="E72" s="187">
        <v>5</v>
      </c>
      <c r="F72" s="112" t="s">
        <v>2785</v>
      </c>
      <c r="G72" s="234" t="s">
        <v>2874</v>
      </c>
      <c r="H72" s="277">
        <v>0.36899999999999999</v>
      </c>
    </row>
    <row r="73" spans="2:8" x14ac:dyDescent="0.25">
      <c r="B73" s="112" t="s">
        <v>2908</v>
      </c>
      <c r="C73" s="55" t="s">
        <v>154</v>
      </c>
      <c r="D73" s="263">
        <v>42</v>
      </c>
      <c r="E73" s="263">
        <v>5</v>
      </c>
      <c r="F73" s="260" t="s">
        <v>3003</v>
      </c>
      <c r="G73" s="234"/>
      <c r="H73" s="202">
        <v>3.6999999999999998E-2</v>
      </c>
    </row>
    <row r="74" spans="2:8" x14ac:dyDescent="0.25">
      <c r="B74" s="97" t="s">
        <v>3169</v>
      </c>
      <c r="C74" s="97" t="s">
        <v>314</v>
      </c>
      <c r="D74" s="97">
        <v>42</v>
      </c>
      <c r="E74" s="97">
        <v>5</v>
      </c>
      <c r="F74" s="287" t="s">
        <v>234</v>
      </c>
      <c r="G74" s="287" t="s">
        <v>3420</v>
      </c>
      <c r="H74" s="129">
        <v>3.2149999999999999</v>
      </c>
    </row>
    <row r="75" spans="2:8" x14ac:dyDescent="0.2">
      <c r="B75" s="134" t="s">
        <v>3001</v>
      </c>
      <c r="C75" s="134" t="s">
        <v>3111</v>
      </c>
      <c r="D75" s="134">
        <v>42</v>
      </c>
      <c r="E75" s="134">
        <v>6</v>
      </c>
      <c r="F75" s="22"/>
      <c r="G75" s="22" t="s">
        <v>3112</v>
      </c>
      <c r="H75" s="181">
        <v>1.224</v>
      </c>
    </row>
    <row r="76" spans="2:8" x14ac:dyDescent="0.25">
      <c r="B76" s="97" t="s">
        <v>3169</v>
      </c>
      <c r="C76" s="97" t="s">
        <v>314</v>
      </c>
      <c r="D76" s="97">
        <v>42</v>
      </c>
      <c r="E76" s="97">
        <v>6</v>
      </c>
      <c r="F76" s="287" t="s">
        <v>234</v>
      </c>
      <c r="G76" s="287" t="s">
        <v>3132</v>
      </c>
      <c r="H76" s="129">
        <v>0.17499999999999999</v>
      </c>
    </row>
    <row r="77" spans="2:8" x14ac:dyDescent="0.25">
      <c r="B77" s="97" t="s">
        <v>3169</v>
      </c>
      <c r="C77" s="97" t="s">
        <v>314</v>
      </c>
      <c r="D77" s="97">
        <v>42</v>
      </c>
      <c r="E77" s="97">
        <v>6</v>
      </c>
      <c r="F77" s="287" t="s">
        <v>234</v>
      </c>
      <c r="G77" s="287" t="s">
        <v>3421</v>
      </c>
      <c r="H77" s="129">
        <v>6.2E-2</v>
      </c>
    </row>
    <row r="78" spans="2:8" x14ac:dyDescent="0.25">
      <c r="B78" s="97" t="s">
        <v>3169</v>
      </c>
      <c r="C78" s="97" t="s">
        <v>314</v>
      </c>
      <c r="D78" s="97">
        <v>42</v>
      </c>
      <c r="E78" s="97">
        <v>7</v>
      </c>
      <c r="F78" s="287" t="s">
        <v>234</v>
      </c>
      <c r="G78" s="287" t="s">
        <v>3422</v>
      </c>
      <c r="H78" s="129">
        <v>1.17</v>
      </c>
    </row>
    <row r="79" spans="2:8" x14ac:dyDescent="0.25">
      <c r="B79" s="97" t="s">
        <v>3169</v>
      </c>
      <c r="C79" s="97" t="s">
        <v>314</v>
      </c>
      <c r="D79" s="97">
        <v>42</v>
      </c>
      <c r="E79" s="97">
        <v>7</v>
      </c>
      <c r="F79" s="287" t="s">
        <v>234</v>
      </c>
      <c r="G79" s="287" t="s">
        <v>3423</v>
      </c>
      <c r="H79" s="129">
        <v>4.24</v>
      </c>
    </row>
    <row r="80" spans="2:8" x14ac:dyDescent="0.25">
      <c r="B80" s="97" t="s">
        <v>3169</v>
      </c>
      <c r="C80" s="97" t="s">
        <v>314</v>
      </c>
      <c r="D80" s="97">
        <v>42</v>
      </c>
      <c r="E80" s="97">
        <v>9</v>
      </c>
      <c r="F80" s="287" t="s">
        <v>234</v>
      </c>
      <c r="G80" s="287" t="s">
        <v>3424</v>
      </c>
      <c r="H80" s="129">
        <v>0.56999999999999995</v>
      </c>
    </row>
    <row r="81" spans="2:8" x14ac:dyDescent="0.25">
      <c r="B81" s="97" t="s">
        <v>3169</v>
      </c>
      <c r="C81" s="97" t="s">
        <v>314</v>
      </c>
      <c r="D81" s="97">
        <v>42</v>
      </c>
      <c r="E81" s="97">
        <v>11</v>
      </c>
      <c r="F81" s="287" t="s">
        <v>234</v>
      </c>
      <c r="G81" s="287" t="s">
        <v>3425</v>
      </c>
      <c r="H81" s="129">
        <v>3.63</v>
      </c>
    </row>
    <row r="82" spans="2:8" x14ac:dyDescent="0.25">
      <c r="B82" s="112" t="s">
        <v>2908</v>
      </c>
      <c r="C82" s="97" t="s">
        <v>210</v>
      </c>
      <c r="D82" s="97">
        <v>45</v>
      </c>
      <c r="E82" s="97">
        <v>2.5</v>
      </c>
      <c r="F82" s="287" t="s">
        <v>2785</v>
      </c>
      <c r="G82" s="287" t="s">
        <v>3174</v>
      </c>
      <c r="H82" s="129">
        <v>0.28199999999999997</v>
      </c>
    </row>
    <row r="83" spans="2:8" x14ac:dyDescent="0.25">
      <c r="B83" s="112" t="s">
        <v>2908</v>
      </c>
      <c r="C83" s="97">
        <v>20</v>
      </c>
      <c r="D83" s="97">
        <v>45</v>
      </c>
      <c r="E83" s="97">
        <v>2.5</v>
      </c>
      <c r="F83" s="287" t="s">
        <v>2785</v>
      </c>
      <c r="G83" s="287" t="s">
        <v>3175</v>
      </c>
      <c r="H83" s="129">
        <v>0.84499999999999997</v>
      </c>
    </row>
    <row r="84" spans="2:8" x14ac:dyDescent="0.25">
      <c r="B84" s="97" t="s">
        <v>2781</v>
      </c>
      <c r="C84" s="97">
        <v>20</v>
      </c>
      <c r="D84" s="97">
        <v>45</v>
      </c>
      <c r="E84" s="97">
        <v>3</v>
      </c>
      <c r="F84" s="97" t="s">
        <v>2784</v>
      </c>
      <c r="G84" s="287" t="s">
        <v>3165</v>
      </c>
      <c r="H84" s="129">
        <v>3.9E-2</v>
      </c>
    </row>
    <row r="85" spans="2:8" x14ac:dyDescent="0.25">
      <c r="B85" s="97" t="s">
        <v>3169</v>
      </c>
      <c r="C85" s="97" t="s">
        <v>312</v>
      </c>
      <c r="D85" s="97">
        <v>45</v>
      </c>
      <c r="E85" s="97">
        <v>3</v>
      </c>
      <c r="F85" s="287" t="s">
        <v>234</v>
      </c>
      <c r="G85" s="287" t="s">
        <v>3426</v>
      </c>
      <c r="H85" s="129">
        <v>0.66</v>
      </c>
    </row>
    <row r="86" spans="2:8" x14ac:dyDescent="0.25">
      <c r="B86" s="97" t="s">
        <v>2781</v>
      </c>
      <c r="C86" s="55" t="s">
        <v>154</v>
      </c>
      <c r="D86" s="263">
        <v>45</v>
      </c>
      <c r="E86" s="264">
        <v>3.5</v>
      </c>
      <c r="F86" s="260" t="s">
        <v>3013</v>
      </c>
      <c r="G86" s="234"/>
      <c r="H86" s="202">
        <v>0.2</v>
      </c>
    </row>
    <row r="87" spans="2:8" x14ac:dyDescent="0.2">
      <c r="B87" s="134" t="s">
        <v>3001</v>
      </c>
      <c r="C87" s="134" t="s">
        <v>3102</v>
      </c>
      <c r="D87" s="134">
        <v>45</v>
      </c>
      <c r="E87" s="134">
        <v>3.5</v>
      </c>
      <c r="F87" s="22"/>
      <c r="G87" s="22" t="s">
        <v>3113</v>
      </c>
      <c r="H87" s="181">
        <v>0.05</v>
      </c>
    </row>
    <row r="88" spans="2:8" x14ac:dyDescent="0.25">
      <c r="B88" s="112" t="s">
        <v>2908</v>
      </c>
      <c r="C88" s="97" t="s">
        <v>210</v>
      </c>
      <c r="D88" s="97">
        <v>45</v>
      </c>
      <c r="E88" s="97">
        <v>3.5</v>
      </c>
      <c r="F88" s="287" t="s">
        <v>2785</v>
      </c>
      <c r="G88" s="287" t="s">
        <v>3176</v>
      </c>
      <c r="H88" s="129">
        <v>3.5000000000000003E-2</v>
      </c>
    </row>
    <row r="89" spans="2:8" x14ac:dyDescent="0.25">
      <c r="B89" s="97" t="s">
        <v>2781</v>
      </c>
      <c r="C89" s="97">
        <v>20</v>
      </c>
      <c r="D89" s="97">
        <v>45</v>
      </c>
      <c r="E89" s="97">
        <v>4</v>
      </c>
      <c r="F89" s="97" t="s">
        <v>2784</v>
      </c>
      <c r="G89" s="287" t="s">
        <v>3114</v>
      </c>
      <c r="H89" s="129">
        <v>0.625</v>
      </c>
    </row>
    <row r="90" spans="2:8" x14ac:dyDescent="0.25">
      <c r="B90" s="97" t="s">
        <v>3169</v>
      </c>
      <c r="C90" s="97" t="s">
        <v>314</v>
      </c>
      <c r="D90" s="97">
        <v>45</v>
      </c>
      <c r="E90" s="97">
        <v>4.5</v>
      </c>
      <c r="F90" s="287" t="s">
        <v>234</v>
      </c>
      <c r="G90" s="287" t="s">
        <v>3427</v>
      </c>
      <c r="H90" s="129">
        <v>1.77</v>
      </c>
    </row>
    <row r="91" spans="2:8" x14ac:dyDescent="0.25">
      <c r="B91" s="97" t="s">
        <v>3169</v>
      </c>
      <c r="C91" s="97" t="s">
        <v>314</v>
      </c>
      <c r="D91" s="97">
        <v>45</v>
      </c>
      <c r="E91" s="97">
        <v>4.5</v>
      </c>
      <c r="F91" s="287" t="s">
        <v>234</v>
      </c>
      <c r="G91" s="287" t="s">
        <v>3428</v>
      </c>
      <c r="H91" s="129">
        <v>7.47</v>
      </c>
    </row>
    <row r="92" spans="2:8" x14ac:dyDescent="0.25">
      <c r="B92" s="97" t="s">
        <v>3169</v>
      </c>
      <c r="C92" s="97" t="s">
        <v>314</v>
      </c>
      <c r="D92" s="97">
        <v>45</v>
      </c>
      <c r="E92" s="97">
        <v>5</v>
      </c>
      <c r="F92" s="287" t="s">
        <v>234</v>
      </c>
      <c r="G92" s="287" t="s">
        <v>3429</v>
      </c>
      <c r="H92" s="129">
        <v>4.4999999999999998E-2</v>
      </c>
    </row>
    <row r="93" spans="2:8" x14ac:dyDescent="0.2">
      <c r="B93" s="203" t="s">
        <v>2781</v>
      </c>
      <c r="C93" s="106" t="s">
        <v>217</v>
      </c>
      <c r="D93" s="106">
        <v>45</v>
      </c>
      <c r="E93" s="106">
        <v>10</v>
      </c>
      <c r="F93" s="198" t="s">
        <v>2784</v>
      </c>
      <c r="G93" s="198" t="s">
        <v>285</v>
      </c>
      <c r="H93" s="199">
        <v>3.6850000000000001</v>
      </c>
    </row>
    <row r="94" spans="2:8" x14ac:dyDescent="0.2">
      <c r="B94" s="134" t="s">
        <v>202</v>
      </c>
      <c r="C94" s="134">
        <v>3</v>
      </c>
      <c r="D94" s="134">
        <v>46</v>
      </c>
      <c r="E94" s="134">
        <v>3</v>
      </c>
      <c r="F94" s="22" t="s">
        <v>2794</v>
      </c>
      <c r="G94" s="22" t="s">
        <v>3044</v>
      </c>
      <c r="H94" s="181">
        <v>7.5449999999999999</v>
      </c>
    </row>
    <row r="95" spans="2:8" x14ac:dyDescent="0.2">
      <c r="B95" s="134" t="s">
        <v>2811</v>
      </c>
      <c r="C95" s="134">
        <v>3</v>
      </c>
      <c r="D95" s="134">
        <v>46</v>
      </c>
      <c r="E95" s="134">
        <v>3.5</v>
      </c>
      <c r="F95" s="22" t="s">
        <v>2794</v>
      </c>
      <c r="G95" s="22" t="s">
        <v>3045</v>
      </c>
      <c r="H95" s="181">
        <v>0.4</v>
      </c>
    </row>
    <row r="96" spans="2:8" x14ac:dyDescent="0.2">
      <c r="B96" s="134" t="s">
        <v>202</v>
      </c>
      <c r="C96" s="134">
        <v>3</v>
      </c>
      <c r="D96" s="134">
        <v>46</v>
      </c>
      <c r="E96" s="134">
        <v>4</v>
      </c>
      <c r="F96" s="22" t="s">
        <v>2794</v>
      </c>
      <c r="G96" s="22" t="s">
        <v>3046</v>
      </c>
      <c r="H96" s="181">
        <v>4.6150000000000002</v>
      </c>
    </row>
    <row r="97" spans="2:8" x14ac:dyDescent="0.2">
      <c r="B97" s="134" t="s">
        <v>3001</v>
      </c>
      <c r="C97" s="134" t="s">
        <v>3115</v>
      </c>
      <c r="D97" s="134">
        <v>48</v>
      </c>
      <c r="E97" s="134">
        <v>1.5</v>
      </c>
      <c r="F97" s="22"/>
      <c r="G97" s="22" t="s">
        <v>3116</v>
      </c>
      <c r="H97" s="181">
        <v>0.16500000000000001</v>
      </c>
    </row>
    <row r="98" spans="2:8" x14ac:dyDescent="0.2">
      <c r="B98" s="134" t="s">
        <v>3093</v>
      </c>
      <c r="C98" s="134" t="s">
        <v>865</v>
      </c>
      <c r="D98" s="134">
        <v>48</v>
      </c>
      <c r="E98" s="134">
        <v>3</v>
      </c>
      <c r="F98" s="22"/>
      <c r="G98" s="22" t="s">
        <v>3114</v>
      </c>
      <c r="H98" s="181">
        <v>7.4999999999999997E-2</v>
      </c>
    </row>
    <row r="99" spans="2:8" x14ac:dyDescent="0.2">
      <c r="B99" s="203" t="s">
        <v>2781</v>
      </c>
      <c r="C99" s="106">
        <v>20</v>
      </c>
      <c r="D99" s="106">
        <v>48</v>
      </c>
      <c r="E99" s="106">
        <v>3.5</v>
      </c>
      <c r="F99" s="198" t="s">
        <v>2784</v>
      </c>
      <c r="G99" s="198" t="s">
        <v>2796</v>
      </c>
      <c r="H99" s="199">
        <v>2.367</v>
      </c>
    </row>
    <row r="100" spans="2:8" x14ac:dyDescent="0.2">
      <c r="B100" s="134" t="s">
        <v>3001</v>
      </c>
      <c r="C100" s="134" t="s">
        <v>3102</v>
      </c>
      <c r="D100" s="134">
        <v>48</v>
      </c>
      <c r="E100" s="134">
        <v>5</v>
      </c>
      <c r="F100" s="22"/>
      <c r="G100" s="22" t="s">
        <v>3117</v>
      </c>
      <c r="H100" s="181">
        <v>6.5000000000000002E-2</v>
      </c>
    </row>
    <row r="101" spans="2:8" x14ac:dyDescent="0.25">
      <c r="B101" s="97" t="s">
        <v>2781</v>
      </c>
      <c r="C101" s="97" t="s">
        <v>302</v>
      </c>
      <c r="D101" s="97">
        <v>48</v>
      </c>
      <c r="E101" s="97">
        <v>5.5</v>
      </c>
      <c r="F101" s="97" t="s">
        <v>2784</v>
      </c>
      <c r="G101" s="287" t="s">
        <v>3166</v>
      </c>
      <c r="H101" s="129">
        <v>0.185</v>
      </c>
    </row>
    <row r="102" spans="2:8" x14ac:dyDescent="0.25">
      <c r="B102" s="97" t="s">
        <v>2781</v>
      </c>
      <c r="C102" s="97">
        <v>10</v>
      </c>
      <c r="D102" s="97">
        <v>48</v>
      </c>
      <c r="E102" s="97">
        <v>7</v>
      </c>
      <c r="F102" s="97" t="s">
        <v>2784</v>
      </c>
      <c r="G102" s="287" t="s">
        <v>3167</v>
      </c>
      <c r="H102" s="129">
        <v>2.27</v>
      </c>
    </row>
    <row r="103" spans="2:8" x14ac:dyDescent="0.25">
      <c r="B103" s="112" t="s">
        <v>2908</v>
      </c>
      <c r="C103" s="97" t="s">
        <v>3063</v>
      </c>
      <c r="D103" s="97">
        <v>48</v>
      </c>
      <c r="E103" s="97">
        <v>7.5</v>
      </c>
      <c r="F103" s="287" t="s">
        <v>2785</v>
      </c>
      <c r="G103" s="287" t="s">
        <v>3177</v>
      </c>
      <c r="H103" s="129">
        <v>7.4999999999999997E-2</v>
      </c>
    </row>
    <row r="104" spans="2:8" x14ac:dyDescent="0.2">
      <c r="B104" s="203" t="s">
        <v>2781</v>
      </c>
      <c r="C104" s="106">
        <v>20</v>
      </c>
      <c r="D104" s="106">
        <v>48</v>
      </c>
      <c r="E104" s="106">
        <v>8</v>
      </c>
      <c r="F104" s="198" t="s">
        <v>2784</v>
      </c>
      <c r="G104" s="198" t="s">
        <v>2821</v>
      </c>
      <c r="H104" s="199">
        <v>0.95</v>
      </c>
    </row>
    <row r="105" spans="2:8" x14ac:dyDescent="0.25">
      <c r="B105" s="112" t="s">
        <v>2908</v>
      </c>
      <c r="C105" s="112">
        <v>20</v>
      </c>
      <c r="D105" s="112">
        <v>48</v>
      </c>
      <c r="E105" s="187">
        <v>8</v>
      </c>
      <c r="F105" s="112" t="s">
        <v>2785</v>
      </c>
      <c r="G105" s="70">
        <v>5.7</v>
      </c>
      <c r="H105" s="277">
        <v>3.7999999999999999E-2</v>
      </c>
    </row>
    <row r="106" spans="2:8" x14ac:dyDescent="0.25">
      <c r="B106" s="112" t="s">
        <v>2908</v>
      </c>
      <c r="C106" s="112">
        <v>20</v>
      </c>
      <c r="D106" s="112">
        <v>48</v>
      </c>
      <c r="E106" s="187">
        <v>10</v>
      </c>
      <c r="F106" s="112" t="s">
        <v>2785</v>
      </c>
      <c r="G106" s="70">
        <v>5.7</v>
      </c>
      <c r="H106" s="277">
        <v>1.121</v>
      </c>
    </row>
    <row r="107" spans="2:8" x14ac:dyDescent="0.25">
      <c r="B107" s="112" t="s">
        <v>2908</v>
      </c>
      <c r="C107" s="187"/>
      <c r="D107" s="112">
        <v>48</v>
      </c>
      <c r="E107" s="187">
        <v>11</v>
      </c>
      <c r="F107" s="112" t="s">
        <v>2785</v>
      </c>
      <c r="G107" s="70">
        <v>7.9</v>
      </c>
      <c r="H107" s="277">
        <v>1.9019999999999999</v>
      </c>
    </row>
    <row r="108" spans="2:8" x14ac:dyDescent="0.2">
      <c r="B108" s="134" t="s">
        <v>3001</v>
      </c>
      <c r="C108" s="134" t="s">
        <v>3115</v>
      </c>
      <c r="D108" s="134">
        <v>50</v>
      </c>
      <c r="E108" s="134">
        <v>2</v>
      </c>
      <c r="F108" s="22"/>
      <c r="G108" s="22" t="s">
        <v>3118</v>
      </c>
      <c r="H108" s="181">
        <v>8.5000000000000006E-2</v>
      </c>
    </row>
    <row r="109" spans="2:8" x14ac:dyDescent="0.2">
      <c r="B109" s="204" t="s">
        <v>2792</v>
      </c>
      <c r="C109" s="234">
        <v>20</v>
      </c>
      <c r="D109" s="234">
        <v>50</v>
      </c>
      <c r="E109" s="106">
        <v>3.5</v>
      </c>
      <c r="F109" s="201" t="s">
        <v>2793</v>
      </c>
      <c r="G109" s="201">
        <v>6</v>
      </c>
      <c r="H109" s="201">
        <v>1.02</v>
      </c>
    </row>
    <row r="110" spans="2:8" x14ac:dyDescent="0.2">
      <c r="B110" s="134" t="s">
        <v>2812</v>
      </c>
      <c r="C110" s="134">
        <v>3</v>
      </c>
      <c r="D110" s="134">
        <v>50</v>
      </c>
      <c r="E110" s="134">
        <v>3.5</v>
      </c>
      <c r="F110" s="22" t="s">
        <v>2892</v>
      </c>
      <c r="G110" s="22" t="s">
        <v>3150</v>
      </c>
      <c r="H110" s="181">
        <v>14.945</v>
      </c>
    </row>
    <row r="111" spans="2:8" x14ac:dyDescent="0.25">
      <c r="B111" s="234" t="s">
        <v>3001</v>
      </c>
      <c r="C111" s="55" t="s">
        <v>313</v>
      </c>
      <c r="D111" s="263">
        <v>50</v>
      </c>
      <c r="E111" s="263">
        <v>8</v>
      </c>
      <c r="F111" s="260" t="s">
        <v>3014</v>
      </c>
      <c r="G111" s="234"/>
      <c r="H111" s="202">
        <v>0.47199999999999998</v>
      </c>
    </row>
    <row r="112" spans="2:8" x14ac:dyDescent="0.25">
      <c r="B112" s="97" t="s">
        <v>2781</v>
      </c>
      <c r="C112" s="97">
        <v>20</v>
      </c>
      <c r="D112" s="97">
        <v>50</v>
      </c>
      <c r="E112" s="97">
        <v>8</v>
      </c>
      <c r="F112" s="97" t="s">
        <v>2784</v>
      </c>
      <c r="G112" s="287" t="s">
        <v>3168</v>
      </c>
      <c r="H112" s="129">
        <v>0.19</v>
      </c>
    </row>
    <row r="113" spans="2:8" x14ac:dyDescent="0.25">
      <c r="B113" s="97" t="s">
        <v>3169</v>
      </c>
      <c r="C113" s="97" t="s">
        <v>314</v>
      </c>
      <c r="D113" s="97">
        <v>50</v>
      </c>
      <c r="E113" s="97">
        <v>11</v>
      </c>
      <c r="F113" s="287" t="s">
        <v>234</v>
      </c>
      <c r="G113" s="287" t="s">
        <v>3430</v>
      </c>
      <c r="H113" s="129">
        <v>1.54</v>
      </c>
    </row>
    <row r="114" spans="2:8" x14ac:dyDescent="0.25">
      <c r="B114" s="97" t="s">
        <v>3169</v>
      </c>
      <c r="C114" s="97" t="s">
        <v>314</v>
      </c>
      <c r="D114" s="97">
        <v>50</v>
      </c>
      <c r="E114" s="97">
        <v>11</v>
      </c>
      <c r="F114" s="287" t="s">
        <v>234</v>
      </c>
      <c r="G114" s="287" t="s">
        <v>3153</v>
      </c>
      <c r="H114" s="129">
        <v>2.6419999999999999</v>
      </c>
    </row>
    <row r="115" spans="2:8" x14ac:dyDescent="0.2">
      <c r="B115" s="134" t="s">
        <v>3001</v>
      </c>
      <c r="C115" s="134" t="s">
        <v>3119</v>
      </c>
      <c r="D115" s="134">
        <v>51</v>
      </c>
      <c r="E115" s="134">
        <v>6.5</v>
      </c>
      <c r="F115" s="22"/>
      <c r="G115" s="22" t="s">
        <v>3120</v>
      </c>
      <c r="H115" s="181">
        <v>9.2999999999999999E-2</v>
      </c>
    </row>
    <row r="116" spans="2:8" x14ac:dyDescent="0.25">
      <c r="B116" s="97" t="s">
        <v>2781</v>
      </c>
      <c r="C116" s="55" t="s">
        <v>154</v>
      </c>
      <c r="D116" s="263">
        <v>53</v>
      </c>
      <c r="E116" s="263">
        <v>10</v>
      </c>
      <c r="F116" s="260" t="s">
        <v>3013</v>
      </c>
      <c r="G116" s="234"/>
      <c r="H116" s="202">
        <f>0.32-0.016-0.135</f>
        <v>0.16899999999999998</v>
      </c>
    </row>
    <row r="117" spans="2:8" x14ac:dyDescent="0.2">
      <c r="B117" s="203" t="s">
        <v>2781</v>
      </c>
      <c r="C117" s="106" t="s">
        <v>217</v>
      </c>
      <c r="D117" s="106">
        <v>54</v>
      </c>
      <c r="E117" s="106">
        <v>4</v>
      </c>
      <c r="F117" s="198" t="s">
        <v>2784</v>
      </c>
      <c r="G117" s="198" t="s">
        <v>2822</v>
      </c>
      <c r="H117" s="199">
        <v>1.1100000000000001</v>
      </c>
    </row>
    <row r="118" spans="2:8" x14ac:dyDescent="0.25">
      <c r="B118" s="97" t="s">
        <v>3169</v>
      </c>
      <c r="C118" s="97" t="s">
        <v>314</v>
      </c>
      <c r="D118" s="97">
        <v>54</v>
      </c>
      <c r="E118" s="97">
        <v>6.5</v>
      </c>
      <c r="F118" s="287" t="s">
        <v>234</v>
      </c>
      <c r="G118" s="287" t="s">
        <v>3431</v>
      </c>
      <c r="H118" s="129">
        <v>0.44500000000000001</v>
      </c>
    </row>
    <row r="119" spans="2:8" x14ac:dyDescent="0.25">
      <c r="B119" s="112" t="s">
        <v>2908</v>
      </c>
      <c r="C119" s="97" t="s">
        <v>212</v>
      </c>
      <c r="D119" s="97">
        <v>56</v>
      </c>
      <c r="E119" s="97">
        <v>12</v>
      </c>
      <c r="F119" s="287" t="s">
        <v>2785</v>
      </c>
      <c r="G119" s="287" t="s">
        <v>3178</v>
      </c>
      <c r="H119" s="129">
        <v>0.09</v>
      </c>
    </row>
    <row r="120" spans="2:8" x14ac:dyDescent="0.25">
      <c r="B120" s="187" t="s">
        <v>202</v>
      </c>
      <c r="C120" s="112"/>
      <c r="D120" s="112">
        <v>57</v>
      </c>
      <c r="E120" s="112">
        <v>3</v>
      </c>
      <c r="F120" s="112" t="s">
        <v>2794</v>
      </c>
      <c r="G120" s="234">
        <v>11.4</v>
      </c>
      <c r="H120" s="202">
        <v>9.14</v>
      </c>
    </row>
    <row r="121" spans="2:8" x14ac:dyDescent="0.25">
      <c r="B121" s="112" t="s">
        <v>2908</v>
      </c>
      <c r="C121" s="234" t="s">
        <v>210</v>
      </c>
      <c r="D121" s="106">
        <v>57</v>
      </c>
      <c r="E121" s="106">
        <v>3.5</v>
      </c>
      <c r="F121" s="200" t="s">
        <v>2785</v>
      </c>
      <c r="G121" s="200" t="s">
        <v>2823</v>
      </c>
      <c r="H121" s="199">
        <v>0.24</v>
      </c>
    </row>
    <row r="122" spans="2:8" x14ac:dyDescent="0.25">
      <c r="B122" s="187" t="s">
        <v>202</v>
      </c>
      <c r="C122" s="112">
        <v>20</v>
      </c>
      <c r="D122" s="112">
        <v>57</v>
      </c>
      <c r="E122" s="112">
        <v>3.5</v>
      </c>
      <c r="F122" s="112" t="s">
        <v>2894</v>
      </c>
      <c r="G122" s="234"/>
      <c r="H122" s="202">
        <v>0.41499999999999998</v>
      </c>
    </row>
    <row r="123" spans="2:8" x14ac:dyDescent="0.25">
      <c r="B123" s="112" t="s">
        <v>2908</v>
      </c>
      <c r="C123" s="240">
        <v>20</v>
      </c>
      <c r="D123" s="112">
        <v>57</v>
      </c>
      <c r="E123" s="112">
        <v>3.5</v>
      </c>
      <c r="F123" s="112" t="s">
        <v>2785</v>
      </c>
      <c r="G123" s="234" t="s">
        <v>2875</v>
      </c>
      <c r="H123" s="277">
        <v>0.14399999999999999</v>
      </c>
    </row>
    <row r="124" spans="2:8" x14ac:dyDescent="0.25">
      <c r="B124" s="112" t="s">
        <v>2908</v>
      </c>
      <c r="C124" s="240">
        <v>20</v>
      </c>
      <c r="D124" s="112">
        <v>57</v>
      </c>
      <c r="E124" s="112">
        <v>3.5</v>
      </c>
      <c r="F124" s="112" t="s">
        <v>2785</v>
      </c>
      <c r="G124" s="234"/>
      <c r="H124" s="277">
        <v>0.26200000000000001</v>
      </c>
    </row>
    <row r="125" spans="2:8" x14ac:dyDescent="0.25">
      <c r="B125" s="97" t="s">
        <v>202</v>
      </c>
      <c r="C125" s="97">
        <v>20</v>
      </c>
      <c r="D125" s="97">
        <v>57</v>
      </c>
      <c r="E125" s="97">
        <v>3.5</v>
      </c>
      <c r="F125" s="97" t="s">
        <v>2909</v>
      </c>
      <c r="G125" s="97"/>
      <c r="H125" s="278">
        <v>9.6999999999999993</v>
      </c>
    </row>
    <row r="126" spans="2:8" x14ac:dyDescent="0.25">
      <c r="B126" s="112" t="s">
        <v>2908</v>
      </c>
      <c r="C126" s="55" t="s">
        <v>154</v>
      </c>
      <c r="D126" s="263">
        <v>57</v>
      </c>
      <c r="E126" s="264">
        <v>3.5</v>
      </c>
      <c r="F126" s="260" t="s">
        <v>3004</v>
      </c>
      <c r="G126" s="234"/>
      <c r="H126" s="202">
        <v>0.47</v>
      </c>
    </row>
    <row r="127" spans="2:8" x14ac:dyDescent="0.25">
      <c r="B127" s="112" t="s">
        <v>2908</v>
      </c>
      <c r="C127" s="97" t="s">
        <v>210</v>
      </c>
      <c r="D127" s="97">
        <v>57</v>
      </c>
      <c r="E127" s="97">
        <v>3.5</v>
      </c>
      <c r="F127" s="287" t="s">
        <v>2785</v>
      </c>
      <c r="G127" s="287" t="s">
        <v>3179</v>
      </c>
      <c r="H127" s="129">
        <v>2.2810000000000001</v>
      </c>
    </row>
    <row r="128" spans="2:8" x14ac:dyDescent="0.25">
      <c r="B128" s="112" t="s">
        <v>2908</v>
      </c>
      <c r="C128" s="97" t="s">
        <v>210</v>
      </c>
      <c r="D128" s="97">
        <v>57</v>
      </c>
      <c r="E128" s="97">
        <v>3.5</v>
      </c>
      <c r="F128" s="287" t="s">
        <v>2785</v>
      </c>
      <c r="G128" s="287" t="s">
        <v>3180</v>
      </c>
      <c r="H128" s="129">
        <v>0.04</v>
      </c>
    </row>
    <row r="129" spans="2:8" x14ac:dyDescent="0.25">
      <c r="B129" s="112" t="s">
        <v>2908</v>
      </c>
      <c r="C129" s="106">
        <v>20</v>
      </c>
      <c r="D129" s="106">
        <v>57</v>
      </c>
      <c r="E129" s="106">
        <v>4</v>
      </c>
      <c r="F129" s="200" t="s">
        <v>286</v>
      </c>
      <c r="G129" s="239">
        <v>10</v>
      </c>
      <c r="H129" s="199">
        <v>0.375</v>
      </c>
    </row>
    <row r="130" spans="2:8" x14ac:dyDescent="0.25">
      <c r="B130" s="112" t="s">
        <v>2908</v>
      </c>
      <c r="C130" s="106">
        <v>20</v>
      </c>
      <c r="D130" s="106">
        <v>57</v>
      </c>
      <c r="E130" s="106">
        <v>4</v>
      </c>
      <c r="F130" s="200" t="s">
        <v>2785</v>
      </c>
      <c r="G130" s="200" t="s">
        <v>2829</v>
      </c>
      <c r="H130" s="199">
        <v>0.16800000000000001</v>
      </c>
    </row>
    <row r="131" spans="2:8" x14ac:dyDescent="0.25">
      <c r="B131" s="187" t="s">
        <v>202</v>
      </c>
      <c r="C131" s="112">
        <v>20</v>
      </c>
      <c r="D131" s="112">
        <v>57</v>
      </c>
      <c r="E131" s="112">
        <v>4</v>
      </c>
      <c r="F131" s="112" t="s">
        <v>2893</v>
      </c>
      <c r="G131" s="234"/>
      <c r="H131" s="202">
        <v>0.05</v>
      </c>
    </row>
    <row r="132" spans="2:8" x14ac:dyDescent="0.25">
      <c r="B132" s="112" t="s">
        <v>2908</v>
      </c>
      <c r="C132" s="97" t="s">
        <v>210</v>
      </c>
      <c r="D132" s="97">
        <v>57</v>
      </c>
      <c r="E132" s="97">
        <v>4</v>
      </c>
      <c r="F132" s="287" t="s">
        <v>2785</v>
      </c>
      <c r="G132" s="287" t="s">
        <v>157</v>
      </c>
      <c r="H132" s="129">
        <v>0.155</v>
      </c>
    </row>
    <row r="133" spans="2:8" x14ac:dyDescent="0.25">
      <c r="B133" s="112" t="s">
        <v>2908</v>
      </c>
      <c r="C133" s="234" t="s">
        <v>210</v>
      </c>
      <c r="D133" s="106">
        <v>57</v>
      </c>
      <c r="E133" s="106">
        <v>4.5</v>
      </c>
      <c r="F133" s="200" t="s">
        <v>2786</v>
      </c>
      <c r="G133" s="200" t="s">
        <v>284</v>
      </c>
      <c r="H133" s="199">
        <v>0.20699999999999999</v>
      </c>
    </row>
    <row r="134" spans="2:8" x14ac:dyDescent="0.25">
      <c r="B134" s="112" t="s">
        <v>2908</v>
      </c>
      <c r="C134" s="234" t="s">
        <v>210</v>
      </c>
      <c r="D134" s="106">
        <v>57</v>
      </c>
      <c r="E134" s="106">
        <v>5</v>
      </c>
      <c r="F134" s="200" t="s">
        <v>2785</v>
      </c>
      <c r="G134" s="200" t="s">
        <v>2824</v>
      </c>
      <c r="H134" s="199">
        <v>6.5000000000000002E-2</v>
      </c>
    </row>
    <row r="135" spans="2:8" x14ac:dyDescent="0.25">
      <c r="B135" s="112" t="s">
        <v>2908</v>
      </c>
      <c r="C135" s="234" t="s">
        <v>210</v>
      </c>
      <c r="D135" s="106">
        <v>57</v>
      </c>
      <c r="E135" s="106">
        <v>5</v>
      </c>
      <c r="F135" s="200" t="s">
        <v>2786</v>
      </c>
      <c r="G135" s="200" t="s">
        <v>2825</v>
      </c>
      <c r="H135" s="199">
        <v>4.0999999999999996</v>
      </c>
    </row>
    <row r="136" spans="2:8" x14ac:dyDescent="0.25">
      <c r="B136" s="112" t="s">
        <v>2908</v>
      </c>
      <c r="C136" s="112">
        <v>20</v>
      </c>
      <c r="D136" s="112">
        <v>57</v>
      </c>
      <c r="E136" s="112">
        <v>5</v>
      </c>
      <c r="F136" s="241" t="s">
        <v>2898</v>
      </c>
      <c r="G136" s="234" t="s">
        <v>2876</v>
      </c>
      <c r="H136" s="277">
        <v>0.16800000000000001</v>
      </c>
    </row>
    <row r="137" spans="2:8" x14ac:dyDescent="0.25">
      <c r="B137" s="112" t="s">
        <v>2908</v>
      </c>
      <c r="C137" s="259" t="s">
        <v>2976</v>
      </c>
      <c r="D137" s="258">
        <v>57</v>
      </c>
      <c r="E137" s="234">
        <v>5</v>
      </c>
      <c r="F137" s="234"/>
      <c r="G137" s="234"/>
      <c r="H137" s="279">
        <v>7.5</v>
      </c>
    </row>
    <row r="138" spans="2:8" x14ac:dyDescent="0.25">
      <c r="B138" s="112" t="s">
        <v>2908</v>
      </c>
      <c r="C138" s="97" t="s">
        <v>210</v>
      </c>
      <c r="D138" s="97">
        <v>57</v>
      </c>
      <c r="E138" s="97">
        <v>5</v>
      </c>
      <c r="F138" s="287" t="s">
        <v>2785</v>
      </c>
      <c r="G138" s="287" t="s">
        <v>3127</v>
      </c>
      <c r="H138" s="129">
        <v>0.03</v>
      </c>
    </row>
    <row r="139" spans="2:8" x14ac:dyDescent="0.25">
      <c r="B139" s="97" t="s">
        <v>3169</v>
      </c>
      <c r="C139" s="97" t="s">
        <v>312</v>
      </c>
      <c r="D139" s="97">
        <v>57</v>
      </c>
      <c r="E139" s="97">
        <v>9</v>
      </c>
      <c r="F139" s="287" t="s">
        <v>234</v>
      </c>
      <c r="G139" s="287" t="s">
        <v>3432</v>
      </c>
      <c r="H139" s="129">
        <v>1.875</v>
      </c>
    </row>
    <row r="140" spans="2:8" x14ac:dyDescent="0.25">
      <c r="B140" s="97" t="s">
        <v>3169</v>
      </c>
      <c r="C140" s="97" t="s">
        <v>314</v>
      </c>
      <c r="D140" s="97">
        <v>57</v>
      </c>
      <c r="E140" s="97">
        <v>10</v>
      </c>
      <c r="F140" s="287" t="s">
        <v>234</v>
      </c>
      <c r="G140" s="287" t="s">
        <v>3433</v>
      </c>
      <c r="H140" s="129">
        <v>0.94</v>
      </c>
    </row>
    <row r="141" spans="2:8" x14ac:dyDescent="0.25">
      <c r="B141" s="234" t="s">
        <v>3169</v>
      </c>
      <c r="C141" s="55" t="s">
        <v>314</v>
      </c>
      <c r="D141" s="263">
        <v>57</v>
      </c>
      <c r="E141" s="263">
        <v>12</v>
      </c>
      <c r="F141" s="260" t="s">
        <v>3003</v>
      </c>
      <c r="G141" s="234"/>
      <c r="H141" s="202">
        <v>1</v>
      </c>
    </row>
    <row r="142" spans="2:8" x14ac:dyDescent="0.25">
      <c r="B142" s="234" t="s">
        <v>3169</v>
      </c>
      <c r="C142" s="55" t="s">
        <v>314</v>
      </c>
      <c r="D142" s="263">
        <v>57</v>
      </c>
      <c r="E142" s="263">
        <v>13</v>
      </c>
      <c r="F142" s="260" t="s">
        <v>3003</v>
      </c>
      <c r="G142" s="234"/>
      <c r="H142" s="202">
        <v>0.62</v>
      </c>
    </row>
    <row r="143" spans="2:8" x14ac:dyDescent="0.25">
      <c r="B143" s="234" t="s">
        <v>3169</v>
      </c>
      <c r="C143" s="55" t="s">
        <v>1555</v>
      </c>
      <c r="D143" s="263">
        <v>57</v>
      </c>
      <c r="E143" s="263">
        <v>13</v>
      </c>
      <c r="F143" s="260" t="s">
        <v>150</v>
      </c>
      <c r="G143" s="234"/>
      <c r="H143" s="202">
        <v>1.07</v>
      </c>
    </row>
    <row r="144" spans="2:8" x14ac:dyDescent="0.25">
      <c r="B144" s="97" t="s">
        <v>3169</v>
      </c>
      <c r="C144" s="97" t="s">
        <v>314</v>
      </c>
      <c r="D144" s="97">
        <v>57</v>
      </c>
      <c r="E144" s="97">
        <v>13</v>
      </c>
      <c r="F144" s="287" t="s">
        <v>234</v>
      </c>
      <c r="G144" s="287" t="s">
        <v>3434</v>
      </c>
      <c r="H144" s="129">
        <v>4.32</v>
      </c>
    </row>
    <row r="145" spans="2:8" x14ac:dyDescent="0.2">
      <c r="B145" s="134" t="s">
        <v>3001</v>
      </c>
      <c r="C145" s="134" t="s">
        <v>3121</v>
      </c>
      <c r="D145" s="134">
        <v>60</v>
      </c>
      <c r="E145" s="134">
        <v>2.5</v>
      </c>
      <c r="F145" s="22"/>
      <c r="G145" s="22" t="s">
        <v>3122</v>
      </c>
      <c r="H145" s="181">
        <v>2.1999999999999999E-2</v>
      </c>
    </row>
    <row r="146" spans="2:8" x14ac:dyDescent="0.25">
      <c r="B146" s="112" t="s">
        <v>2908</v>
      </c>
      <c r="C146" s="55" t="s">
        <v>154</v>
      </c>
      <c r="D146" s="263">
        <v>60</v>
      </c>
      <c r="E146" s="263">
        <v>3</v>
      </c>
      <c r="F146" s="260" t="s">
        <v>3004</v>
      </c>
      <c r="G146" s="234"/>
      <c r="H146" s="202">
        <v>0.27</v>
      </c>
    </row>
    <row r="147" spans="2:8" x14ac:dyDescent="0.2">
      <c r="B147" s="134" t="s">
        <v>202</v>
      </c>
      <c r="C147" s="134">
        <v>3</v>
      </c>
      <c r="D147" s="134">
        <v>60</v>
      </c>
      <c r="E147" s="134">
        <v>3</v>
      </c>
      <c r="F147" s="22" t="s">
        <v>2910</v>
      </c>
      <c r="G147" s="22" t="s">
        <v>3042</v>
      </c>
      <c r="H147" s="181">
        <v>1.155</v>
      </c>
    </row>
    <row r="148" spans="2:8" x14ac:dyDescent="0.2">
      <c r="B148" s="134" t="s">
        <v>202</v>
      </c>
      <c r="C148" s="134">
        <v>3</v>
      </c>
      <c r="D148" s="134">
        <v>60</v>
      </c>
      <c r="E148" s="134">
        <v>3.5</v>
      </c>
      <c r="F148" s="22" t="s">
        <v>2910</v>
      </c>
      <c r="G148" s="22" t="s">
        <v>3043</v>
      </c>
      <c r="H148" s="181">
        <v>1.69</v>
      </c>
    </row>
    <row r="149" spans="2:8" x14ac:dyDescent="0.25">
      <c r="B149" s="187" t="s">
        <v>2781</v>
      </c>
      <c r="C149" s="112">
        <v>20</v>
      </c>
      <c r="D149" s="112">
        <v>60</v>
      </c>
      <c r="E149" s="112">
        <v>4</v>
      </c>
      <c r="F149" s="187" t="s">
        <v>2784</v>
      </c>
      <c r="G149" s="234"/>
      <c r="H149" s="277">
        <v>0.42399999999999999</v>
      </c>
    </row>
    <row r="150" spans="2:8" x14ac:dyDescent="0.25">
      <c r="B150" s="112" t="s">
        <v>2908</v>
      </c>
      <c r="C150" s="97">
        <v>20</v>
      </c>
      <c r="D150" s="97">
        <v>60</v>
      </c>
      <c r="E150" s="97">
        <v>6</v>
      </c>
      <c r="F150" s="287" t="s">
        <v>2785</v>
      </c>
      <c r="G150" s="287" t="s">
        <v>3182</v>
      </c>
      <c r="H150" s="129">
        <v>0.04</v>
      </c>
    </row>
    <row r="151" spans="2:8" x14ac:dyDescent="0.25">
      <c r="B151" s="97" t="s">
        <v>3169</v>
      </c>
      <c r="C151" s="97" t="s">
        <v>314</v>
      </c>
      <c r="D151" s="97">
        <v>60</v>
      </c>
      <c r="E151" s="97">
        <v>6</v>
      </c>
      <c r="F151" s="287" t="s">
        <v>234</v>
      </c>
      <c r="G151" s="287" t="s">
        <v>3435</v>
      </c>
      <c r="H151" s="129">
        <v>3.84</v>
      </c>
    </row>
    <row r="152" spans="2:8" x14ac:dyDescent="0.25">
      <c r="B152" s="112" t="s">
        <v>2908</v>
      </c>
      <c r="C152" s="97" t="s">
        <v>210</v>
      </c>
      <c r="D152" s="97">
        <v>60</v>
      </c>
      <c r="E152" s="97">
        <v>8</v>
      </c>
      <c r="F152" s="287" t="s">
        <v>2785</v>
      </c>
      <c r="G152" s="287" t="s">
        <v>3183</v>
      </c>
      <c r="H152" s="129">
        <v>7.8150000000000004</v>
      </c>
    </row>
    <row r="153" spans="2:8" x14ac:dyDescent="0.25">
      <c r="B153" s="112" t="s">
        <v>2908</v>
      </c>
      <c r="C153" s="106">
        <v>20</v>
      </c>
      <c r="D153" s="106">
        <v>60</v>
      </c>
      <c r="E153" s="106">
        <v>10</v>
      </c>
      <c r="F153" s="200" t="s">
        <v>2785</v>
      </c>
      <c r="G153" s="200" t="s">
        <v>2826</v>
      </c>
      <c r="H153" s="199">
        <v>1.94</v>
      </c>
    </row>
    <row r="154" spans="2:8" x14ac:dyDescent="0.25">
      <c r="B154" s="112" t="s">
        <v>2908</v>
      </c>
      <c r="C154" s="187">
        <v>20</v>
      </c>
      <c r="D154" s="112">
        <v>60</v>
      </c>
      <c r="E154" s="187">
        <v>10</v>
      </c>
      <c r="F154" s="112" t="s">
        <v>2785</v>
      </c>
      <c r="G154" s="234" t="s">
        <v>2877</v>
      </c>
      <c r="H154" s="277">
        <v>0.52700000000000002</v>
      </c>
    </row>
    <row r="155" spans="2:8" x14ac:dyDescent="0.25">
      <c r="B155" s="112" t="s">
        <v>2908</v>
      </c>
      <c r="C155" s="97">
        <v>20</v>
      </c>
      <c r="D155" s="97">
        <v>60.3</v>
      </c>
      <c r="E155" s="97">
        <v>8</v>
      </c>
      <c r="F155" s="287" t="s">
        <v>2785</v>
      </c>
      <c r="G155" s="287" t="s">
        <v>3181</v>
      </c>
      <c r="H155" s="129">
        <v>2.4449999999999998</v>
      </c>
    </row>
    <row r="156" spans="2:8" x14ac:dyDescent="0.25">
      <c r="B156" s="112" t="s">
        <v>2908</v>
      </c>
      <c r="C156" s="97">
        <v>45</v>
      </c>
      <c r="D156" s="97">
        <v>63.5</v>
      </c>
      <c r="E156" s="97">
        <v>3</v>
      </c>
      <c r="F156" s="287" t="s">
        <v>2785</v>
      </c>
      <c r="G156" s="287" t="s">
        <v>3114</v>
      </c>
      <c r="H156" s="129">
        <v>2.4249999999999998</v>
      </c>
    </row>
    <row r="157" spans="2:8" x14ac:dyDescent="0.25">
      <c r="B157" s="234" t="s">
        <v>3169</v>
      </c>
      <c r="C157" s="55" t="s">
        <v>217</v>
      </c>
      <c r="D157" s="261">
        <v>63.5</v>
      </c>
      <c r="E157" s="263">
        <v>9</v>
      </c>
      <c r="F157" s="260" t="s">
        <v>150</v>
      </c>
      <c r="G157" s="234"/>
      <c r="H157" s="202">
        <f>0.4-0.05</f>
        <v>0.35000000000000003</v>
      </c>
    </row>
    <row r="158" spans="2:8" x14ac:dyDescent="0.25">
      <c r="B158" s="97" t="s">
        <v>2812</v>
      </c>
      <c r="C158" s="97">
        <v>3</v>
      </c>
      <c r="D158" s="97">
        <v>65</v>
      </c>
      <c r="E158" s="97">
        <v>4</v>
      </c>
      <c r="F158" s="287" t="s">
        <v>2892</v>
      </c>
      <c r="G158" s="287" t="s">
        <v>3114</v>
      </c>
      <c r="H158" s="181">
        <v>1.4850000000000001</v>
      </c>
    </row>
    <row r="159" spans="2:8" x14ac:dyDescent="0.25">
      <c r="B159" s="112" t="s">
        <v>2908</v>
      </c>
      <c r="C159" s="55" t="s">
        <v>154</v>
      </c>
      <c r="D159" s="263">
        <v>68</v>
      </c>
      <c r="E159" s="261">
        <v>3.5</v>
      </c>
      <c r="F159" s="265" t="s">
        <v>150</v>
      </c>
      <c r="G159" s="234"/>
      <c r="H159" s="202">
        <f>0.06-0.02</f>
        <v>3.9999999999999994E-2</v>
      </c>
    </row>
    <row r="160" spans="2:8" x14ac:dyDescent="0.25">
      <c r="B160" s="187" t="s">
        <v>2781</v>
      </c>
      <c r="C160" s="112">
        <v>20</v>
      </c>
      <c r="D160" s="112">
        <v>68</v>
      </c>
      <c r="E160" s="112">
        <v>4</v>
      </c>
      <c r="F160" s="187" t="s">
        <v>2784</v>
      </c>
      <c r="G160" s="234"/>
      <c r="H160" s="277">
        <v>0.219</v>
      </c>
    </row>
    <row r="161" spans="2:8" x14ac:dyDescent="0.25">
      <c r="B161" s="234" t="s">
        <v>3001</v>
      </c>
      <c r="C161" s="55" t="s">
        <v>313</v>
      </c>
      <c r="D161" s="263">
        <v>68</v>
      </c>
      <c r="E161" s="263">
        <v>4</v>
      </c>
      <c r="F161" s="260" t="s">
        <v>3002</v>
      </c>
      <c r="G161" s="234"/>
      <c r="H161" s="202">
        <f>0.134-0.005</f>
        <v>0.129</v>
      </c>
    </row>
    <row r="162" spans="2:8" x14ac:dyDescent="0.25">
      <c r="B162" s="112" t="s">
        <v>2908</v>
      </c>
      <c r="C162" s="97">
        <v>20</v>
      </c>
      <c r="D162" s="97">
        <v>68</v>
      </c>
      <c r="E162" s="97">
        <v>4</v>
      </c>
      <c r="F162" s="287" t="s">
        <v>2785</v>
      </c>
      <c r="G162" s="287" t="s">
        <v>3184</v>
      </c>
      <c r="H162" s="129">
        <v>2.6549999999999998</v>
      </c>
    </row>
    <row r="163" spans="2:8" x14ac:dyDescent="0.25">
      <c r="B163" s="112" t="s">
        <v>2908</v>
      </c>
      <c r="C163" s="55" t="s">
        <v>154</v>
      </c>
      <c r="D163" s="263">
        <v>68</v>
      </c>
      <c r="E163" s="263">
        <v>14</v>
      </c>
      <c r="F163" s="265" t="s">
        <v>150</v>
      </c>
      <c r="G163" s="234"/>
      <c r="H163" s="202">
        <v>0.11</v>
      </c>
    </row>
    <row r="164" spans="2:8" x14ac:dyDescent="0.25">
      <c r="B164" s="187" t="s">
        <v>2781</v>
      </c>
      <c r="C164" s="55" t="s">
        <v>212</v>
      </c>
      <c r="D164" s="263">
        <v>70</v>
      </c>
      <c r="E164" s="263">
        <v>2</v>
      </c>
      <c r="F164" s="260" t="s">
        <v>3013</v>
      </c>
      <c r="G164" s="234"/>
      <c r="H164" s="202">
        <v>0.63500000000000001</v>
      </c>
    </row>
    <row r="165" spans="2:8" x14ac:dyDescent="0.25">
      <c r="B165" s="112" t="s">
        <v>2908</v>
      </c>
      <c r="C165" s="97">
        <v>20</v>
      </c>
      <c r="D165" s="97">
        <v>70</v>
      </c>
      <c r="E165" s="97">
        <v>8</v>
      </c>
      <c r="F165" s="287" t="s">
        <v>2785</v>
      </c>
      <c r="G165" s="287" t="s">
        <v>3185</v>
      </c>
      <c r="H165" s="129">
        <v>0.04</v>
      </c>
    </row>
    <row r="166" spans="2:8" x14ac:dyDescent="0.25">
      <c r="B166" s="234" t="s">
        <v>3169</v>
      </c>
      <c r="C166" s="55" t="s">
        <v>216</v>
      </c>
      <c r="D166" s="263">
        <v>70</v>
      </c>
      <c r="E166" s="263">
        <v>14</v>
      </c>
      <c r="F166" s="260" t="s">
        <v>3015</v>
      </c>
      <c r="G166" s="234"/>
      <c r="H166" s="202">
        <v>4.9400000000000004</v>
      </c>
    </row>
    <row r="167" spans="2:8" x14ac:dyDescent="0.25">
      <c r="B167" s="112" t="s">
        <v>2908</v>
      </c>
      <c r="C167" s="55" t="s">
        <v>2981</v>
      </c>
      <c r="D167" s="263">
        <v>70</v>
      </c>
      <c r="E167" s="263">
        <v>15</v>
      </c>
      <c r="F167" s="260" t="s">
        <v>150</v>
      </c>
      <c r="G167" s="234"/>
      <c r="H167" s="202">
        <f>2.78-0.805</f>
        <v>1.9749999999999996</v>
      </c>
    </row>
    <row r="168" spans="2:8" x14ac:dyDescent="0.25">
      <c r="B168" s="112" t="s">
        <v>2908</v>
      </c>
      <c r="C168" s="55" t="s">
        <v>2981</v>
      </c>
      <c r="D168" s="263">
        <v>70</v>
      </c>
      <c r="E168" s="263">
        <v>15</v>
      </c>
      <c r="F168" s="260" t="s">
        <v>150</v>
      </c>
      <c r="G168" s="234"/>
      <c r="H168" s="202">
        <f>2.39-0.76-0.515-0.2-0.35</f>
        <v>0.56500000000000028</v>
      </c>
    </row>
    <row r="169" spans="2:8" x14ac:dyDescent="0.2">
      <c r="B169" s="134" t="s">
        <v>3001</v>
      </c>
      <c r="C169" s="134" t="s">
        <v>3123</v>
      </c>
      <c r="D169" s="134">
        <v>73</v>
      </c>
      <c r="E169" s="134">
        <v>3</v>
      </c>
      <c r="F169" s="22"/>
      <c r="G169" s="22" t="s">
        <v>3124</v>
      </c>
      <c r="H169" s="181">
        <v>2.08</v>
      </c>
    </row>
    <row r="170" spans="2:8" x14ac:dyDescent="0.2">
      <c r="B170" s="134" t="s">
        <v>3001</v>
      </c>
      <c r="C170" s="134" t="s">
        <v>3102</v>
      </c>
      <c r="D170" s="134">
        <v>73</v>
      </c>
      <c r="E170" s="134">
        <v>5</v>
      </c>
      <c r="F170" s="22"/>
      <c r="G170" s="22" t="s">
        <v>3125</v>
      </c>
      <c r="H170" s="181">
        <v>0.02</v>
      </c>
    </row>
    <row r="171" spans="2:8" x14ac:dyDescent="0.25">
      <c r="B171" s="234" t="s">
        <v>3169</v>
      </c>
      <c r="C171" s="55" t="s">
        <v>3019</v>
      </c>
      <c r="D171" s="263">
        <v>73</v>
      </c>
      <c r="E171" s="261">
        <v>5.5</v>
      </c>
      <c r="F171" s="260" t="s">
        <v>150</v>
      </c>
      <c r="G171" s="234"/>
      <c r="H171" s="202">
        <v>0.79</v>
      </c>
    </row>
    <row r="172" spans="2:8" x14ac:dyDescent="0.2">
      <c r="B172" s="134" t="s">
        <v>3001</v>
      </c>
      <c r="C172" s="134" t="s">
        <v>697</v>
      </c>
      <c r="D172" s="134">
        <v>73</v>
      </c>
      <c r="E172" s="134">
        <v>6</v>
      </c>
      <c r="F172" s="22"/>
      <c r="G172" s="22" t="s">
        <v>3126</v>
      </c>
      <c r="H172" s="181">
        <v>0.09</v>
      </c>
    </row>
    <row r="173" spans="2:8" x14ac:dyDescent="0.25">
      <c r="B173" s="112" t="s">
        <v>2908</v>
      </c>
      <c r="C173" s="97" t="s">
        <v>3186</v>
      </c>
      <c r="D173" s="97">
        <v>73</v>
      </c>
      <c r="E173" s="97">
        <v>7</v>
      </c>
      <c r="F173" s="287" t="s">
        <v>2785</v>
      </c>
      <c r="G173" s="287" t="s">
        <v>3187</v>
      </c>
      <c r="H173" s="129">
        <v>8.5000000000000006E-2</v>
      </c>
    </row>
    <row r="174" spans="2:8" x14ac:dyDescent="0.25">
      <c r="B174" s="112" t="s">
        <v>2908</v>
      </c>
      <c r="C174" s="55" t="s">
        <v>884</v>
      </c>
      <c r="D174" s="263">
        <v>73</v>
      </c>
      <c r="E174" s="263">
        <v>12</v>
      </c>
      <c r="F174" s="260" t="s">
        <v>150</v>
      </c>
      <c r="G174" s="234"/>
      <c r="H174" s="202">
        <f>0.23-0.036</f>
        <v>0.19400000000000001</v>
      </c>
    </row>
    <row r="175" spans="2:8" x14ac:dyDescent="0.25">
      <c r="B175" s="112" t="s">
        <v>2908</v>
      </c>
      <c r="C175" s="55" t="s">
        <v>217</v>
      </c>
      <c r="D175" s="263">
        <v>73</v>
      </c>
      <c r="E175" s="263">
        <v>12</v>
      </c>
      <c r="F175" s="260" t="s">
        <v>150</v>
      </c>
      <c r="G175" s="234"/>
      <c r="H175" s="202">
        <v>0.03</v>
      </c>
    </row>
    <row r="176" spans="2:8" x14ac:dyDescent="0.2">
      <c r="B176" s="134" t="s">
        <v>3093</v>
      </c>
      <c r="C176" s="134" t="s">
        <v>3102</v>
      </c>
      <c r="D176" s="134">
        <v>76</v>
      </c>
      <c r="E176" s="134">
        <v>2</v>
      </c>
      <c r="F176" s="22"/>
      <c r="G176" s="22" t="s">
        <v>3114</v>
      </c>
      <c r="H176" s="181">
        <v>6.4000000000000001E-2</v>
      </c>
    </row>
    <row r="177" spans="2:8" x14ac:dyDescent="0.25">
      <c r="B177" s="187" t="s">
        <v>202</v>
      </c>
      <c r="C177" s="112"/>
      <c r="D177" s="112">
        <v>76</v>
      </c>
      <c r="E177" s="112">
        <v>3</v>
      </c>
      <c r="F177" s="112" t="s">
        <v>2794</v>
      </c>
      <c r="G177" s="70">
        <v>10</v>
      </c>
      <c r="H177" s="202">
        <v>0.16200000000000001</v>
      </c>
    </row>
    <row r="178" spans="2:8" x14ac:dyDescent="0.25">
      <c r="B178" s="187" t="s">
        <v>2811</v>
      </c>
      <c r="C178" s="112"/>
      <c r="D178" s="112">
        <v>76</v>
      </c>
      <c r="E178" s="106">
        <v>3.5</v>
      </c>
      <c r="F178" s="187" t="s">
        <v>2794</v>
      </c>
      <c r="G178" s="70">
        <v>6</v>
      </c>
      <c r="H178" s="277">
        <v>6.38</v>
      </c>
    </row>
    <row r="179" spans="2:8" x14ac:dyDescent="0.25">
      <c r="B179" s="187" t="s">
        <v>2811</v>
      </c>
      <c r="C179" s="112"/>
      <c r="D179" s="112">
        <v>76</v>
      </c>
      <c r="E179" s="106">
        <v>3.5</v>
      </c>
      <c r="F179" s="112" t="s">
        <v>2794</v>
      </c>
      <c r="G179" s="70">
        <v>7.8</v>
      </c>
      <c r="H179" s="202">
        <v>0.151</v>
      </c>
    </row>
    <row r="180" spans="2:8" x14ac:dyDescent="0.25">
      <c r="B180" s="112" t="s">
        <v>2908</v>
      </c>
      <c r="C180" s="112">
        <v>20</v>
      </c>
      <c r="D180" s="112">
        <v>76</v>
      </c>
      <c r="E180" s="112">
        <v>3.5</v>
      </c>
      <c r="F180" s="112" t="s">
        <v>2785</v>
      </c>
      <c r="G180" s="234"/>
      <c r="H180" s="277">
        <v>13</v>
      </c>
    </row>
    <row r="181" spans="2:8" x14ac:dyDescent="0.25">
      <c r="B181" s="112" t="s">
        <v>2908</v>
      </c>
      <c r="C181" s="112"/>
      <c r="D181" s="112">
        <v>76</v>
      </c>
      <c r="E181" s="112">
        <v>3.5</v>
      </c>
      <c r="F181" s="112" t="s">
        <v>2785</v>
      </c>
      <c r="G181" s="234"/>
      <c r="H181" s="277">
        <v>0.11700000000000001</v>
      </c>
    </row>
    <row r="182" spans="2:8" x14ac:dyDescent="0.25">
      <c r="B182" s="112" t="s">
        <v>2908</v>
      </c>
      <c r="C182" s="234" t="s">
        <v>210</v>
      </c>
      <c r="D182" s="106">
        <v>76</v>
      </c>
      <c r="E182" s="106">
        <v>4</v>
      </c>
      <c r="F182" s="200" t="s">
        <v>287</v>
      </c>
      <c r="G182" s="200" t="s">
        <v>2827</v>
      </c>
      <c r="H182" s="199">
        <v>4.57</v>
      </c>
    </row>
    <row r="183" spans="2:8" x14ac:dyDescent="0.25">
      <c r="B183" s="187" t="s">
        <v>202</v>
      </c>
      <c r="C183" s="112"/>
      <c r="D183" s="112">
        <v>76</v>
      </c>
      <c r="E183" s="112">
        <v>4</v>
      </c>
      <c r="F183" s="112" t="s">
        <v>2794</v>
      </c>
      <c r="G183" s="70">
        <v>11.4</v>
      </c>
      <c r="H183" s="202">
        <v>15.619</v>
      </c>
    </row>
    <row r="184" spans="2:8" x14ac:dyDescent="0.25">
      <c r="B184" s="187" t="s">
        <v>202</v>
      </c>
      <c r="C184" s="112">
        <v>20</v>
      </c>
      <c r="D184" s="112">
        <v>76</v>
      </c>
      <c r="E184" s="112">
        <v>4</v>
      </c>
      <c r="F184" s="112" t="s">
        <v>2794</v>
      </c>
      <c r="G184" s="234" t="s">
        <v>1521</v>
      </c>
      <c r="H184" s="202">
        <v>5.0999999999999997E-2</v>
      </c>
    </row>
    <row r="185" spans="2:8" x14ac:dyDescent="0.25">
      <c r="B185" s="112" t="s">
        <v>2908</v>
      </c>
      <c r="C185" s="112"/>
      <c r="D185" s="112">
        <v>76</v>
      </c>
      <c r="E185" s="112">
        <v>4</v>
      </c>
      <c r="F185" s="112" t="s">
        <v>2785</v>
      </c>
      <c r="G185" s="70">
        <v>10.7</v>
      </c>
      <c r="H185" s="277">
        <v>2.734</v>
      </c>
    </row>
    <row r="186" spans="2:8" x14ac:dyDescent="0.25">
      <c r="B186" s="112" t="s">
        <v>2908</v>
      </c>
      <c r="C186" s="112">
        <v>20</v>
      </c>
      <c r="D186" s="112">
        <v>76</v>
      </c>
      <c r="E186" s="112">
        <v>4</v>
      </c>
      <c r="F186" s="112" t="s">
        <v>2785</v>
      </c>
      <c r="G186" s="234"/>
      <c r="H186" s="277">
        <v>1.929</v>
      </c>
    </row>
    <row r="187" spans="2:8" x14ac:dyDescent="0.25">
      <c r="B187" s="112" t="s">
        <v>2908</v>
      </c>
      <c r="C187" s="112">
        <v>20</v>
      </c>
      <c r="D187" s="112">
        <v>76</v>
      </c>
      <c r="E187" s="112">
        <v>5</v>
      </c>
      <c r="F187" s="112" t="s">
        <v>2899</v>
      </c>
      <c r="G187" s="234"/>
      <c r="H187" s="277">
        <v>2.371</v>
      </c>
    </row>
    <row r="188" spans="2:8" x14ac:dyDescent="0.25">
      <c r="B188" s="112" t="s">
        <v>2908</v>
      </c>
      <c r="C188" s="257" t="s">
        <v>210</v>
      </c>
      <c r="D188" s="257">
        <v>76</v>
      </c>
      <c r="E188" s="234">
        <v>5</v>
      </c>
      <c r="F188" s="234"/>
      <c r="G188" s="234"/>
      <c r="H188" s="279">
        <v>1.7370000000000001</v>
      </c>
    </row>
    <row r="189" spans="2:8" x14ac:dyDescent="0.25">
      <c r="B189" s="112" t="s">
        <v>2908</v>
      </c>
      <c r="C189" s="97">
        <v>20</v>
      </c>
      <c r="D189" s="97">
        <v>76</v>
      </c>
      <c r="E189" s="97">
        <v>5</v>
      </c>
      <c r="F189" s="287" t="s">
        <v>2785</v>
      </c>
      <c r="G189" s="287" t="s">
        <v>3188</v>
      </c>
      <c r="H189" s="129">
        <v>0.13</v>
      </c>
    </row>
    <row r="190" spans="2:8" x14ac:dyDescent="0.25">
      <c r="B190" s="112" t="s">
        <v>2908</v>
      </c>
      <c r="C190" s="234" t="s">
        <v>210</v>
      </c>
      <c r="D190" s="106">
        <v>76</v>
      </c>
      <c r="E190" s="106">
        <v>7</v>
      </c>
      <c r="F190" s="200" t="s">
        <v>287</v>
      </c>
      <c r="G190" s="200" t="s">
        <v>2828</v>
      </c>
      <c r="H190" s="199">
        <v>2.4</v>
      </c>
    </row>
    <row r="191" spans="2:8" x14ac:dyDescent="0.25">
      <c r="B191" s="97" t="s">
        <v>3169</v>
      </c>
      <c r="C191" s="97" t="s">
        <v>314</v>
      </c>
      <c r="D191" s="97">
        <v>76</v>
      </c>
      <c r="E191" s="97">
        <v>12</v>
      </c>
      <c r="F191" s="287" t="s">
        <v>234</v>
      </c>
      <c r="G191" s="287" t="s">
        <v>3436</v>
      </c>
      <c r="H191" s="129">
        <v>3.37</v>
      </c>
    </row>
    <row r="192" spans="2:8" x14ac:dyDescent="0.25">
      <c r="B192" s="97" t="s">
        <v>3169</v>
      </c>
      <c r="C192" s="97" t="s">
        <v>314</v>
      </c>
      <c r="D192" s="97">
        <v>76</v>
      </c>
      <c r="E192" s="97">
        <v>12</v>
      </c>
      <c r="F192" s="287" t="s">
        <v>234</v>
      </c>
      <c r="G192" s="287" t="s">
        <v>3437</v>
      </c>
      <c r="H192" s="129">
        <v>0.76500000000000001</v>
      </c>
    </row>
    <row r="193" spans="2:8" x14ac:dyDescent="0.25">
      <c r="B193" s="112" t="s">
        <v>2908</v>
      </c>
      <c r="C193" s="187"/>
      <c r="D193" s="187">
        <v>76</v>
      </c>
      <c r="E193" s="187">
        <v>14</v>
      </c>
      <c r="F193" s="112" t="s">
        <v>2785</v>
      </c>
      <c r="G193" s="234" t="s">
        <v>2878</v>
      </c>
      <c r="H193" s="277">
        <v>0.76200000000000001</v>
      </c>
    </row>
    <row r="194" spans="2:8" x14ac:dyDescent="0.2">
      <c r="B194" s="203" t="s">
        <v>2781</v>
      </c>
      <c r="C194" s="106">
        <v>35</v>
      </c>
      <c r="D194" s="106">
        <v>80</v>
      </c>
      <c r="E194" s="106">
        <v>6</v>
      </c>
      <c r="F194" s="200" t="s">
        <v>2787</v>
      </c>
      <c r="G194" s="239">
        <v>6</v>
      </c>
      <c r="H194" s="199">
        <v>1.97</v>
      </c>
    </row>
    <row r="195" spans="2:8" x14ac:dyDescent="0.25">
      <c r="B195" s="112" t="s">
        <v>2908</v>
      </c>
      <c r="C195" s="106">
        <v>20</v>
      </c>
      <c r="D195" s="106">
        <v>81</v>
      </c>
      <c r="E195" s="106">
        <v>6</v>
      </c>
      <c r="F195" s="200" t="s">
        <v>2785</v>
      </c>
      <c r="G195" s="200" t="s">
        <v>2831</v>
      </c>
      <c r="H195" s="199">
        <v>1.3149999999999999</v>
      </c>
    </row>
    <row r="196" spans="2:8" x14ac:dyDescent="0.25">
      <c r="B196" s="112" t="s">
        <v>2908</v>
      </c>
      <c r="C196" s="106" t="s">
        <v>288</v>
      </c>
      <c r="D196" s="106">
        <v>81</v>
      </c>
      <c r="E196" s="106">
        <v>18</v>
      </c>
      <c r="F196" s="200" t="s">
        <v>2785</v>
      </c>
      <c r="G196" s="200" t="s">
        <v>2830</v>
      </c>
      <c r="H196" s="199">
        <v>9.8800000000000008</v>
      </c>
    </row>
    <row r="197" spans="2:8" x14ac:dyDescent="0.25">
      <c r="B197" s="112" t="s">
        <v>2908</v>
      </c>
      <c r="C197" s="55" t="s">
        <v>154</v>
      </c>
      <c r="D197" s="263">
        <v>83</v>
      </c>
      <c r="E197" s="263">
        <v>5</v>
      </c>
      <c r="F197" s="260" t="s">
        <v>3004</v>
      </c>
      <c r="G197" s="234"/>
      <c r="H197" s="202">
        <v>0.2</v>
      </c>
    </row>
    <row r="198" spans="2:8" x14ac:dyDescent="0.25">
      <c r="B198" s="112" t="s">
        <v>2908</v>
      </c>
      <c r="C198" s="97" t="s">
        <v>305</v>
      </c>
      <c r="D198" s="97">
        <v>83</v>
      </c>
      <c r="E198" s="97">
        <v>6</v>
      </c>
      <c r="F198" s="287" t="s">
        <v>3189</v>
      </c>
      <c r="G198" s="287" t="s">
        <v>3190</v>
      </c>
      <c r="H198" s="129">
        <v>0.08</v>
      </c>
    </row>
    <row r="199" spans="2:8" x14ac:dyDescent="0.25">
      <c r="B199" s="112" t="s">
        <v>2908</v>
      </c>
      <c r="C199" s="55" t="s">
        <v>656</v>
      </c>
      <c r="D199" s="263">
        <v>83</v>
      </c>
      <c r="E199" s="263">
        <v>12</v>
      </c>
      <c r="F199" s="260" t="s">
        <v>150</v>
      </c>
      <c r="G199" s="234"/>
      <c r="H199" s="202">
        <f>0.278-0.055</f>
        <v>0.22300000000000003</v>
      </c>
    </row>
    <row r="200" spans="2:8" x14ac:dyDescent="0.25">
      <c r="B200" s="112" t="s">
        <v>2908</v>
      </c>
      <c r="C200" s="55" t="s">
        <v>212</v>
      </c>
      <c r="D200" s="263">
        <v>83</v>
      </c>
      <c r="E200" s="263">
        <v>19</v>
      </c>
      <c r="F200" s="260" t="s">
        <v>150</v>
      </c>
      <c r="G200" s="234"/>
      <c r="H200" s="202">
        <f>5-1.04-1.23-0.884</f>
        <v>1.8460000000000001</v>
      </c>
    </row>
    <row r="201" spans="2:8" x14ac:dyDescent="0.25">
      <c r="B201" s="112" t="s">
        <v>2908</v>
      </c>
      <c r="C201" s="97">
        <v>35</v>
      </c>
      <c r="D201" s="97">
        <v>86</v>
      </c>
      <c r="E201" s="97">
        <v>22.5</v>
      </c>
      <c r="F201" s="287" t="s">
        <v>2785</v>
      </c>
      <c r="G201" s="287" t="s">
        <v>3109</v>
      </c>
      <c r="H201" s="129">
        <v>27.855</v>
      </c>
    </row>
    <row r="202" spans="2:8" x14ac:dyDescent="0.25">
      <c r="B202" s="187" t="s">
        <v>202</v>
      </c>
      <c r="C202" s="112"/>
      <c r="D202" s="112">
        <v>89</v>
      </c>
      <c r="E202" s="112">
        <v>3</v>
      </c>
      <c r="F202" s="112" t="s">
        <v>2794</v>
      </c>
      <c r="G202" s="70">
        <v>11.4</v>
      </c>
      <c r="H202" s="202">
        <v>5.3630000000000004</v>
      </c>
    </row>
    <row r="203" spans="2:8" x14ac:dyDescent="0.25">
      <c r="B203" s="187" t="s">
        <v>202</v>
      </c>
      <c r="C203" s="112">
        <v>20</v>
      </c>
      <c r="D203" s="112">
        <v>89</v>
      </c>
      <c r="E203" s="112">
        <v>3</v>
      </c>
      <c r="F203" s="112" t="s">
        <v>2794</v>
      </c>
      <c r="G203" s="70">
        <v>10</v>
      </c>
      <c r="H203" s="202">
        <v>0.128</v>
      </c>
    </row>
    <row r="204" spans="2:8" x14ac:dyDescent="0.2">
      <c r="B204" s="134" t="s">
        <v>202</v>
      </c>
      <c r="C204" s="134">
        <v>3</v>
      </c>
      <c r="D204" s="134">
        <v>89</v>
      </c>
      <c r="E204" s="134">
        <v>3</v>
      </c>
      <c r="F204" s="22" t="s">
        <v>2794</v>
      </c>
      <c r="G204" s="22" t="s">
        <v>3047</v>
      </c>
      <c r="H204" s="181">
        <v>2.96</v>
      </c>
    </row>
    <row r="205" spans="2:8" x14ac:dyDescent="0.2">
      <c r="B205" s="134" t="s">
        <v>3093</v>
      </c>
      <c r="C205" s="134" t="s">
        <v>3102</v>
      </c>
      <c r="D205" s="134">
        <v>89</v>
      </c>
      <c r="E205" s="134">
        <v>3</v>
      </c>
      <c r="F205" s="22"/>
      <c r="G205" s="22" t="s">
        <v>3127</v>
      </c>
      <c r="H205" s="181">
        <v>3.2000000000000001E-2</v>
      </c>
    </row>
    <row r="206" spans="2:8" x14ac:dyDescent="0.25">
      <c r="B206" s="187" t="s">
        <v>2811</v>
      </c>
      <c r="C206" s="112"/>
      <c r="D206" s="112">
        <v>89</v>
      </c>
      <c r="E206" s="106">
        <v>3.5</v>
      </c>
      <c r="F206" s="112" t="s">
        <v>2794</v>
      </c>
      <c r="G206" s="70">
        <v>6</v>
      </c>
      <c r="H206" s="202">
        <v>0.22800000000000001</v>
      </c>
    </row>
    <row r="207" spans="2:8" x14ac:dyDescent="0.25">
      <c r="B207" s="187" t="s">
        <v>202</v>
      </c>
      <c r="C207" s="112">
        <v>20</v>
      </c>
      <c r="D207" s="112">
        <v>89</v>
      </c>
      <c r="E207" s="112">
        <v>3.5</v>
      </c>
      <c r="F207" s="112" t="s">
        <v>2794</v>
      </c>
      <c r="G207" s="70">
        <v>10</v>
      </c>
      <c r="H207" s="202">
        <v>0.66400000000000003</v>
      </c>
    </row>
    <row r="208" spans="2:8" x14ac:dyDescent="0.2">
      <c r="B208" s="134" t="s">
        <v>202</v>
      </c>
      <c r="C208" s="134">
        <v>3</v>
      </c>
      <c r="D208" s="134">
        <v>89</v>
      </c>
      <c r="E208" s="134">
        <v>3.5</v>
      </c>
      <c r="F208" s="22" t="s">
        <v>2794</v>
      </c>
      <c r="G208" s="22" t="s">
        <v>3048</v>
      </c>
      <c r="H208" s="181">
        <v>8.8350000000000009</v>
      </c>
    </row>
    <row r="209" spans="2:8" x14ac:dyDescent="0.2">
      <c r="B209" s="134" t="s">
        <v>202</v>
      </c>
      <c r="C209" s="134">
        <v>10</v>
      </c>
      <c r="D209" s="134">
        <v>89</v>
      </c>
      <c r="E209" s="134">
        <v>3.5</v>
      </c>
      <c r="F209" s="22" t="s">
        <v>2794</v>
      </c>
      <c r="G209" s="22" t="s">
        <v>3049</v>
      </c>
      <c r="H209" s="181">
        <v>1.1599999999999999</v>
      </c>
    </row>
    <row r="210" spans="2:8" x14ac:dyDescent="0.25">
      <c r="B210" s="112" t="s">
        <v>2908</v>
      </c>
      <c r="C210" s="234" t="s">
        <v>210</v>
      </c>
      <c r="D210" s="106">
        <v>89</v>
      </c>
      <c r="E210" s="106">
        <v>4</v>
      </c>
      <c r="F210" s="200" t="s">
        <v>2785</v>
      </c>
      <c r="G210" s="200" t="s">
        <v>2832</v>
      </c>
      <c r="H210" s="199">
        <v>0.17</v>
      </c>
    </row>
    <row r="211" spans="2:8" x14ac:dyDescent="0.2">
      <c r="B211" s="204" t="s">
        <v>202</v>
      </c>
      <c r="C211" s="234">
        <v>3</v>
      </c>
      <c r="D211" s="234">
        <v>89</v>
      </c>
      <c r="E211" s="106">
        <v>4</v>
      </c>
      <c r="F211" s="198" t="s">
        <v>2794</v>
      </c>
      <c r="G211" s="198">
        <v>11.63</v>
      </c>
      <c r="H211" s="201">
        <v>19.911999999999999</v>
      </c>
    </row>
    <row r="212" spans="2:8" x14ac:dyDescent="0.25">
      <c r="B212" s="187" t="s">
        <v>202</v>
      </c>
      <c r="C212" s="112"/>
      <c r="D212" s="112">
        <v>89</v>
      </c>
      <c r="E212" s="112">
        <v>4</v>
      </c>
      <c r="F212" s="112" t="s">
        <v>2794</v>
      </c>
      <c r="G212" s="70">
        <v>11.4</v>
      </c>
      <c r="H212" s="202">
        <v>5.726</v>
      </c>
    </row>
    <row r="213" spans="2:8" x14ac:dyDescent="0.25">
      <c r="B213" s="112" t="s">
        <v>2908</v>
      </c>
      <c r="C213" s="112">
        <v>20</v>
      </c>
      <c r="D213" s="112">
        <v>89</v>
      </c>
      <c r="E213" s="112">
        <v>4</v>
      </c>
      <c r="F213" s="112" t="s">
        <v>2785</v>
      </c>
      <c r="G213" s="234" t="s">
        <v>2879</v>
      </c>
      <c r="H213" s="277">
        <v>0.31900000000000001</v>
      </c>
    </row>
    <row r="214" spans="2:8" x14ac:dyDescent="0.2">
      <c r="B214" s="134" t="s">
        <v>202</v>
      </c>
      <c r="C214" s="134" t="s">
        <v>210</v>
      </c>
      <c r="D214" s="134">
        <v>89</v>
      </c>
      <c r="E214" s="134">
        <v>4</v>
      </c>
      <c r="F214" s="22" t="s">
        <v>2794</v>
      </c>
      <c r="G214" s="22" t="s">
        <v>3050</v>
      </c>
      <c r="H214" s="181">
        <v>1.31</v>
      </c>
    </row>
    <row r="215" spans="2:8" x14ac:dyDescent="0.2">
      <c r="B215" s="134" t="s">
        <v>2811</v>
      </c>
      <c r="C215" s="134">
        <v>3</v>
      </c>
      <c r="D215" s="134">
        <v>89</v>
      </c>
      <c r="E215" s="134">
        <v>4</v>
      </c>
      <c r="F215" s="22" t="s">
        <v>2794</v>
      </c>
      <c r="G215" s="22" t="s">
        <v>3051</v>
      </c>
      <c r="H215" s="181">
        <v>0.6</v>
      </c>
    </row>
    <row r="216" spans="2:8" x14ac:dyDescent="0.25">
      <c r="B216" s="112" t="s">
        <v>2908</v>
      </c>
      <c r="C216" s="97" t="s">
        <v>210</v>
      </c>
      <c r="D216" s="97">
        <v>89</v>
      </c>
      <c r="E216" s="97">
        <v>4</v>
      </c>
      <c r="F216" s="287" t="s">
        <v>2785</v>
      </c>
      <c r="G216" s="287" t="s">
        <v>3191</v>
      </c>
      <c r="H216" s="129">
        <v>0.26</v>
      </c>
    </row>
    <row r="217" spans="2:8" x14ac:dyDescent="0.25">
      <c r="B217" s="112" t="s">
        <v>2908</v>
      </c>
      <c r="C217" s="97" t="s">
        <v>210</v>
      </c>
      <c r="D217" s="97">
        <v>89</v>
      </c>
      <c r="E217" s="97">
        <v>4</v>
      </c>
      <c r="F217" s="287" t="s">
        <v>2785</v>
      </c>
      <c r="G217" s="287" t="s">
        <v>3192</v>
      </c>
      <c r="H217" s="129">
        <v>1.01</v>
      </c>
    </row>
    <row r="218" spans="2:8" x14ac:dyDescent="0.25">
      <c r="B218" s="112" t="s">
        <v>2908</v>
      </c>
      <c r="C218" s="97" t="s">
        <v>210</v>
      </c>
      <c r="D218" s="97">
        <v>89</v>
      </c>
      <c r="E218" s="97">
        <v>4</v>
      </c>
      <c r="F218" s="287" t="s">
        <v>2785</v>
      </c>
      <c r="G218" s="287" t="s">
        <v>3193</v>
      </c>
      <c r="H218" s="129">
        <v>4.2949999999999999</v>
      </c>
    </row>
    <row r="219" spans="2:8" x14ac:dyDescent="0.25">
      <c r="B219" s="112" t="s">
        <v>2908</v>
      </c>
      <c r="C219" s="97" t="s">
        <v>210</v>
      </c>
      <c r="D219" s="97">
        <v>89</v>
      </c>
      <c r="E219" s="97">
        <v>4</v>
      </c>
      <c r="F219" s="287" t="s">
        <v>2785</v>
      </c>
      <c r="G219" s="287" t="s">
        <v>3194</v>
      </c>
      <c r="H219" s="129">
        <v>0.39</v>
      </c>
    </row>
    <row r="220" spans="2:8" x14ac:dyDescent="0.25">
      <c r="B220" s="112" t="s">
        <v>2908</v>
      </c>
      <c r="C220" s="97">
        <v>20</v>
      </c>
      <c r="D220" s="97">
        <v>89</v>
      </c>
      <c r="E220" s="97">
        <v>4</v>
      </c>
      <c r="F220" s="287" t="s">
        <v>2785</v>
      </c>
      <c r="G220" s="287" t="s">
        <v>3195</v>
      </c>
      <c r="H220" s="129">
        <v>0.28499999999999998</v>
      </c>
    </row>
    <row r="221" spans="2:8" x14ac:dyDescent="0.25">
      <c r="B221" s="112" t="s">
        <v>2908</v>
      </c>
      <c r="C221" s="106">
        <v>20</v>
      </c>
      <c r="D221" s="106">
        <v>89</v>
      </c>
      <c r="E221" s="106">
        <v>5</v>
      </c>
      <c r="F221" s="200" t="s">
        <v>2788</v>
      </c>
      <c r="G221" s="200" t="s">
        <v>2833</v>
      </c>
      <c r="H221" s="199">
        <v>0.44</v>
      </c>
    </row>
    <row r="222" spans="2:8" x14ac:dyDescent="0.25">
      <c r="B222" s="112" t="s">
        <v>2908</v>
      </c>
      <c r="C222" s="112">
        <v>20</v>
      </c>
      <c r="D222" s="112">
        <v>89</v>
      </c>
      <c r="E222" s="112">
        <v>5</v>
      </c>
      <c r="F222" s="112" t="s">
        <v>2899</v>
      </c>
      <c r="G222" s="234"/>
      <c r="H222" s="277">
        <v>0.21</v>
      </c>
    </row>
    <row r="223" spans="2:8" x14ac:dyDescent="0.25">
      <c r="B223" s="112" t="s">
        <v>2908</v>
      </c>
      <c r="C223" s="97" t="s">
        <v>210</v>
      </c>
      <c r="D223" s="97">
        <v>89</v>
      </c>
      <c r="E223" s="97">
        <v>5</v>
      </c>
      <c r="F223" s="287" t="s">
        <v>2785</v>
      </c>
      <c r="G223" s="287" t="s">
        <v>3196</v>
      </c>
      <c r="H223" s="129">
        <v>3.17</v>
      </c>
    </row>
    <row r="224" spans="2:8" x14ac:dyDescent="0.25">
      <c r="B224" s="112" t="s">
        <v>2908</v>
      </c>
      <c r="C224" s="97" t="s">
        <v>210</v>
      </c>
      <c r="D224" s="97">
        <v>89</v>
      </c>
      <c r="E224" s="97">
        <v>5</v>
      </c>
      <c r="F224" s="287" t="s">
        <v>2785</v>
      </c>
      <c r="G224" s="287" t="s">
        <v>3075</v>
      </c>
      <c r="H224" s="129">
        <v>0.115</v>
      </c>
    </row>
    <row r="225" spans="2:8" x14ac:dyDescent="0.25">
      <c r="B225" s="112" t="s">
        <v>2908</v>
      </c>
      <c r="C225" s="97" t="s">
        <v>210</v>
      </c>
      <c r="D225" s="97">
        <v>89</v>
      </c>
      <c r="E225" s="97">
        <v>5</v>
      </c>
      <c r="F225" s="287" t="s">
        <v>2785</v>
      </c>
      <c r="G225" s="287" t="s">
        <v>3197</v>
      </c>
      <c r="H225" s="129">
        <v>6.0250000000000004</v>
      </c>
    </row>
    <row r="226" spans="2:8" x14ac:dyDescent="0.25">
      <c r="B226" s="112" t="s">
        <v>2908</v>
      </c>
      <c r="C226" s="106">
        <v>20</v>
      </c>
      <c r="D226" s="106">
        <v>89</v>
      </c>
      <c r="E226" s="106">
        <v>5.5</v>
      </c>
      <c r="F226" s="200" t="s">
        <v>2786</v>
      </c>
      <c r="G226" s="200" t="s">
        <v>2834</v>
      </c>
      <c r="H226" s="199">
        <v>1.99</v>
      </c>
    </row>
    <row r="227" spans="2:8" x14ac:dyDescent="0.25">
      <c r="B227" s="112" t="s">
        <v>2908</v>
      </c>
      <c r="C227" s="97" t="s">
        <v>210</v>
      </c>
      <c r="D227" s="97">
        <v>89</v>
      </c>
      <c r="E227" s="97">
        <v>6</v>
      </c>
      <c r="F227" s="287" t="s">
        <v>2785</v>
      </c>
      <c r="G227" s="287" t="s">
        <v>3198</v>
      </c>
      <c r="H227" s="129">
        <v>0.17499999999999999</v>
      </c>
    </row>
    <row r="228" spans="2:8" x14ac:dyDescent="0.25">
      <c r="B228" s="112" t="s">
        <v>2908</v>
      </c>
      <c r="C228" s="97" t="s">
        <v>210</v>
      </c>
      <c r="D228" s="97">
        <v>89</v>
      </c>
      <c r="E228" s="97">
        <v>6</v>
      </c>
      <c r="F228" s="287" t="s">
        <v>2785</v>
      </c>
      <c r="G228" s="287" t="s">
        <v>3199</v>
      </c>
      <c r="H228" s="129">
        <v>0.62</v>
      </c>
    </row>
    <row r="229" spans="2:8" x14ac:dyDescent="0.25">
      <c r="B229" s="112" t="s">
        <v>2908</v>
      </c>
      <c r="C229" s="97">
        <v>20</v>
      </c>
      <c r="D229" s="97">
        <v>89</v>
      </c>
      <c r="E229" s="97">
        <v>6</v>
      </c>
      <c r="F229" s="287" t="s">
        <v>2785</v>
      </c>
      <c r="G229" s="287" t="s">
        <v>3200</v>
      </c>
      <c r="H229" s="129">
        <v>0.11</v>
      </c>
    </row>
    <row r="230" spans="2:8" x14ac:dyDescent="0.25">
      <c r="B230" s="112" t="s">
        <v>2908</v>
      </c>
      <c r="C230" s="97">
        <v>20</v>
      </c>
      <c r="D230" s="97">
        <v>89</v>
      </c>
      <c r="E230" s="97">
        <v>6</v>
      </c>
      <c r="F230" s="287" t="s">
        <v>2785</v>
      </c>
      <c r="G230" s="287" t="s">
        <v>3201</v>
      </c>
      <c r="H230" s="129">
        <v>1.51</v>
      </c>
    </row>
    <row r="231" spans="2:8" x14ac:dyDescent="0.25">
      <c r="B231" s="112" t="s">
        <v>2908</v>
      </c>
      <c r="C231" s="97" t="s">
        <v>218</v>
      </c>
      <c r="D231" s="97">
        <v>89</v>
      </c>
      <c r="E231" s="97">
        <v>6</v>
      </c>
      <c r="F231" s="287" t="s">
        <v>2785</v>
      </c>
      <c r="G231" s="287" t="s">
        <v>3202</v>
      </c>
      <c r="H231" s="129">
        <v>5.45</v>
      </c>
    </row>
    <row r="232" spans="2:8" x14ac:dyDescent="0.25">
      <c r="B232" s="112" t="s">
        <v>2908</v>
      </c>
      <c r="C232" s="97" t="s">
        <v>210</v>
      </c>
      <c r="D232" s="97">
        <v>89</v>
      </c>
      <c r="E232" s="97">
        <v>7</v>
      </c>
      <c r="F232" s="287" t="s">
        <v>2785</v>
      </c>
      <c r="G232" s="287" t="s">
        <v>3203</v>
      </c>
      <c r="H232" s="129">
        <v>1.855</v>
      </c>
    </row>
    <row r="233" spans="2:8" x14ac:dyDescent="0.25">
      <c r="B233" s="112" t="s">
        <v>2908</v>
      </c>
      <c r="C233" s="97" t="s">
        <v>210</v>
      </c>
      <c r="D233" s="97">
        <v>89</v>
      </c>
      <c r="E233" s="97">
        <v>7</v>
      </c>
      <c r="F233" s="287" t="s">
        <v>2785</v>
      </c>
      <c r="G233" s="287" t="s">
        <v>3204</v>
      </c>
      <c r="H233" s="129">
        <v>1.85</v>
      </c>
    </row>
    <row r="234" spans="2:8" x14ac:dyDescent="0.25">
      <c r="B234" s="112" t="s">
        <v>2908</v>
      </c>
      <c r="C234" s="97">
        <v>20</v>
      </c>
      <c r="D234" s="97">
        <v>89</v>
      </c>
      <c r="E234" s="97">
        <v>7</v>
      </c>
      <c r="F234" s="287" t="s">
        <v>2785</v>
      </c>
      <c r="G234" s="287" t="s">
        <v>3205</v>
      </c>
      <c r="H234" s="129">
        <v>8.3550000000000004</v>
      </c>
    </row>
    <row r="235" spans="2:8" x14ac:dyDescent="0.25">
      <c r="B235" s="112" t="s">
        <v>2908</v>
      </c>
      <c r="C235" s="97">
        <v>20</v>
      </c>
      <c r="D235" s="97">
        <v>89</v>
      </c>
      <c r="E235" s="97">
        <v>7</v>
      </c>
      <c r="F235" s="287" t="s">
        <v>2785</v>
      </c>
      <c r="G235" s="287" t="s">
        <v>3114</v>
      </c>
      <c r="H235" s="129">
        <v>0.09</v>
      </c>
    </row>
    <row r="236" spans="2:8" x14ac:dyDescent="0.25">
      <c r="B236" s="97" t="s">
        <v>3206</v>
      </c>
      <c r="C236" s="97" t="s">
        <v>3207</v>
      </c>
      <c r="D236" s="97">
        <v>89</v>
      </c>
      <c r="E236" s="97">
        <v>7.34</v>
      </c>
      <c r="F236" s="287"/>
      <c r="G236" s="287" t="s">
        <v>3208</v>
      </c>
      <c r="H236" s="129">
        <v>200</v>
      </c>
    </row>
    <row r="237" spans="2:8" x14ac:dyDescent="0.25">
      <c r="B237" s="112" t="s">
        <v>2908</v>
      </c>
      <c r="C237" s="187"/>
      <c r="D237" s="187">
        <v>89</v>
      </c>
      <c r="E237" s="187">
        <v>8</v>
      </c>
      <c r="F237" s="112" t="s">
        <v>2785</v>
      </c>
      <c r="G237" s="70">
        <v>9.6</v>
      </c>
      <c r="H237" s="277">
        <v>0.61299999999999999</v>
      </c>
    </row>
    <row r="238" spans="2:8" x14ac:dyDescent="0.25">
      <c r="B238" s="112" t="s">
        <v>2908</v>
      </c>
      <c r="C238" s="55" t="s">
        <v>154</v>
      </c>
      <c r="D238" s="263">
        <v>89</v>
      </c>
      <c r="E238" s="263">
        <v>8</v>
      </c>
      <c r="F238" s="260" t="s">
        <v>150</v>
      </c>
      <c r="G238" s="234"/>
      <c r="H238" s="202">
        <v>4.5999999999999999E-2</v>
      </c>
    </row>
    <row r="239" spans="2:8" x14ac:dyDescent="0.25">
      <c r="B239" s="112" t="s">
        <v>2908</v>
      </c>
      <c r="C239" s="97">
        <v>20</v>
      </c>
      <c r="D239" s="97">
        <v>89</v>
      </c>
      <c r="E239" s="97">
        <v>8</v>
      </c>
      <c r="F239" s="287" t="s">
        <v>2785</v>
      </c>
      <c r="G239" s="287" t="s">
        <v>3209</v>
      </c>
      <c r="H239" s="129">
        <v>6.25</v>
      </c>
    </row>
    <row r="240" spans="2:8" x14ac:dyDescent="0.25">
      <c r="B240" s="112" t="s">
        <v>2908</v>
      </c>
      <c r="C240" s="97" t="s">
        <v>210</v>
      </c>
      <c r="D240" s="97">
        <v>89</v>
      </c>
      <c r="E240" s="97">
        <v>9</v>
      </c>
      <c r="F240" s="287" t="s">
        <v>2785</v>
      </c>
      <c r="G240" s="287" t="s">
        <v>3210</v>
      </c>
      <c r="H240" s="129">
        <v>1.21</v>
      </c>
    </row>
    <row r="241" spans="2:8" x14ac:dyDescent="0.25">
      <c r="B241" s="112" t="s">
        <v>2908</v>
      </c>
      <c r="C241" s="112">
        <v>20</v>
      </c>
      <c r="D241" s="112">
        <v>89</v>
      </c>
      <c r="E241" s="112">
        <v>10</v>
      </c>
      <c r="F241" s="112" t="s">
        <v>2785</v>
      </c>
      <c r="G241" s="234" t="s">
        <v>2880</v>
      </c>
      <c r="H241" s="277">
        <v>0.33</v>
      </c>
    </row>
    <row r="242" spans="2:8" x14ac:dyDescent="0.25">
      <c r="B242" s="97" t="s">
        <v>3169</v>
      </c>
      <c r="C242" s="97" t="s">
        <v>314</v>
      </c>
      <c r="D242" s="97">
        <v>89</v>
      </c>
      <c r="E242" s="97">
        <v>11</v>
      </c>
      <c r="F242" s="287" t="s">
        <v>234</v>
      </c>
      <c r="G242" s="287" t="s">
        <v>3438</v>
      </c>
      <c r="H242" s="129">
        <v>3.073</v>
      </c>
    </row>
    <row r="243" spans="2:8" x14ac:dyDescent="0.25">
      <c r="B243" s="97" t="s">
        <v>3169</v>
      </c>
      <c r="C243" s="97">
        <v>20</v>
      </c>
      <c r="D243" s="97">
        <v>89</v>
      </c>
      <c r="E243" s="97">
        <v>13</v>
      </c>
      <c r="F243" s="287" t="s">
        <v>234</v>
      </c>
      <c r="G243" s="287" t="s">
        <v>3439</v>
      </c>
      <c r="H243" s="129">
        <v>4.3899999999999997</v>
      </c>
    </row>
    <row r="244" spans="2:8" x14ac:dyDescent="0.25">
      <c r="B244" s="112" t="s">
        <v>2908</v>
      </c>
      <c r="C244" s="187"/>
      <c r="D244" s="187">
        <v>89</v>
      </c>
      <c r="E244" s="187">
        <v>16</v>
      </c>
      <c r="F244" s="112" t="s">
        <v>2785</v>
      </c>
      <c r="G244" s="234" t="s">
        <v>2881</v>
      </c>
      <c r="H244" s="277">
        <v>1.2410000000000001</v>
      </c>
    </row>
    <row r="245" spans="2:8" x14ac:dyDescent="0.25">
      <c r="B245" s="112" t="s">
        <v>2908</v>
      </c>
      <c r="C245" s="97" t="s">
        <v>218</v>
      </c>
      <c r="D245" s="97">
        <v>89</v>
      </c>
      <c r="E245" s="97">
        <v>16</v>
      </c>
      <c r="F245" s="287" t="s">
        <v>2785</v>
      </c>
      <c r="G245" s="287" t="s">
        <v>3211</v>
      </c>
      <c r="H245" s="129">
        <v>0.92</v>
      </c>
    </row>
    <row r="246" spans="2:8" x14ac:dyDescent="0.25">
      <c r="B246" s="112" t="s">
        <v>2908</v>
      </c>
      <c r="C246" s="55" t="s">
        <v>154</v>
      </c>
      <c r="D246" s="263">
        <v>89</v>
      </c>
      <c r="E246" s="263">
        <v>18</v>
      </c>
      <c r="F246" s="260" t="s">
        <v>150</v>
      </c>
      <c r="G246" s="234"/>
      <c r="H246" s="202">
        <v>0.18</v>
      </c>
    </row>
    <row r="247" spans="2:8" x14ac:dyDescent="0.25">
      <c r="B247" s="112" t="s">
        <v>2908</v>
      </c>
      <c r="C247" s="106">
        <v>20</v>
      </c>
      <c r="D247" s="106">
        <v>95</v>
      </c>
      <c r="E247" s="106">
        <v>5</v>
      </c>
      <c r="F247" s="200" t="s">
        <v>2785</v>
      </c>
      <c r="G247" s="200" t="s">
        <v>284</v>
      </c>
      <c r="H247" s="199">
        <v>0.3</v>
      </c>
    </row>
    <row r="248" spans="2:8" x14ac:dyDescent="0.25">
      <c r="B248" s="112" t="s">
        <v>2908</v>
      </c>
      <c r="C248" s="55">
        <v>20</v>
      </c>
      <c r="D248" s="263">
        <v>95</v>
      </c>
      <c r="E248" s="263">
        <v>8</v>
      </c>
      <c r="F248" s="260" t="s">
        <v>3004</v>
      </c>
      <c r="G248" s="234"/>
      <c r="H248" s="202">
        <v>1.335</v>
      </c>
    </row>
    <row r="249" spans="2:8" x14ac:dyDescent="0.25">
      <c r="B249" s="112" t="s">
        <v>2908</v>
      </c>
      <c r="C249" s="106">
        <v>20</v>
      </c>
      <c r="D249" s="106">
        <v>95</v>
      </c>
      <c r="E249" s="106">
        <v>18</v>
      </c>
      <c r="F249" s="200" t="s">
        <v>2785</v>
      </c>
      <c r="G249" s="200">
        <v>6.04</v>
      </c>
      <c r="H249" s="199">
        <v>10.53</v>
      </c>
    </row>
    <row r="250" spans="2:8" x14ac:dyDescent="0.25">
      <c r="B250" s="112" t="s">
        <v>2908</v>
      </c>
      <c r="C250" s="55" t="s">
        <v>217</v>
      </c>
      <c r="D250" s="263">
        <v>95</v>
      </c>
      <c r="E250" s="263">
        <v>18</v>
      </c>
      <c r="F250" s="260" t="s">
        <v>150</v>
      </c>
      <c r="G250" s="234"/>
      <c r="H250" s="202">
        <v>0.53</v>
      </c>
    </row>
    <row r="251" spans="2:8" x14ac:dyDescent="0.25">
      <c r="B251" s="112" t="s">
        <v>2908</v>
      </c>
      <c r="C251" s="97" t="s">
        <v>212</v>
      </c>
      <c r="D251" s="97">
        <v>95</v>
      </c>
      <c r="E251" s="97">
        <v>22</v>
      </c>
      <c r="F251" s="287" t="s">
        <v>2785</v>
      </c>
      <c r="G251" s="287" t="s">
        <v>3212</v>
      </c>
      <c r="H251" s="129">
        <v>0.215</v>
      </c>
    </row>
    <row r="252" spans="2:8" x14ac:dyDescent="0.25">
      <c r="B252" s="187" t="s">
        <v>202</v>
      </c>
      <c r="C252" s="112"/>
      <c r="D252" s="112">
        <v>102</v>
      </c>
      <c r="E252" s="112">
        <v>3.5</v>
      </c>
      <c r="F252" s="112" t="s">
        <v>2794</v>
      </c>
      <c r="G252" s="70">
        <v>11.4</v>
      </c>
      <c r="H252" s="202">
        <v>4.0629999999999997</v>
      </c>
    </row>
    <row r="253" spans="2:8" x14ac:dyDescent="0.25">
      <c r="B253" s="112" t="s">
        <v>2908</v>
      </c>
      <c r="C253" s="106">
        <v>20</v>
      </c>
      <c r="D253" s="106">
        <v>102</v>
      </c>
      <c r="E253" s="106">
        <v>4</v>
      </c>
      <c r="F253" s="200" t="s">
        <v>2785</v>
      </c>
      <c r="G253" s="200" t="s">
        <v>2835</v>
      </c>
      <c r="H253" s="199">
        <v>0.35299999999999998</v>
      </c>
    </row>
    <row r="254" spans="2:8" x14ac:dyDescent="0.25">
      <c r="B254" s="234" t="s">
        <v>3169</v>
      </c>
      <c r="C254" s="55" t="s">
        <v>2983</v>
      </c>
      <c r="D254" s="263">
        <v>102</v>
      </c>
      <c r="E254" s="263">
        <v>10</v>
      </c>
      <c r="F254" s="260" t="s">
        <v>3003</v>
      </c>
      <c r="G254" s="234"/>
      <c r="H254" s="202">
        <v>0.28000000000000003</v>
      </c>
    </row>
    <row r="255" spans="2:8" x14ac:dyDescent="0.2">
      <c r="B255" s="134" t="s">
        <v>202</v>
      </c>
      <c r="C255" s="134">
        <v>3</v>
      </c>
      <c r="D255" s="134">
        <v>108</v>
      </c>
      <c r="E255" s="134">
        <v>3</v>
      </c>
      <c r="F255" s="22" t="s">
        <v>2794</v>
      </c>
      <c r="G255" s="22" t="s">
        <v>3052</v>
      </c>
      <c r="H255" s="181">
        <v>3.18</v>
      </c>
    </row>
    <row r="256" spans="2:8" x14ac:dyDescent="0.25">
      <c r="B256" s="187" t="s">
        <v>202</v>
      </c>
      <c r="C256" s="112"/>
      <c r="D256" s="112">
        <v>108</v>
      </c>
      <c r="E256" s="112">
        <v>3.5</v>
      </c>
      <c r="F256" s="112" t="s">
        <v>2794</v>
      </c>
      <c r="G256" s="70">
        <v>11.4</v>
      </c>
      <c r="H256" s="202">
        <v>5.0380000000000003</v>
      </c>
    </row>
    <row r="257" spans="2:8" x14ac:dyDescent="0.25">
      <c r="B257" s="187" t="s">
        <v>202</v>
      </c>
      <c r="C257" s="112">
        <v>20</v>
      </c>
      <c r="D257" s="112">
        <v>108</v>
      </c>
      <c r="E257" s="112">
        <v>3.5</v>
      </c>
      <c r="F257" s="112" t="s">
        <v>2794</v>
      </c>
      <c r="G257" s="70">
        <v>10</v>
      </c>
      <c r="H257" s="202">
        <v>0.182</v>
      </c>
    </row>
    <row r="258" spans="2:8" x14ac:dyDescent="0.25">
      <c r="B258" s="112" t="s">
        <v>2908</v>
      </c>
      <c r="C258" s="106">
        <v>20</v>
      </c>
      <c r="D258" s="106">
        <v>108</v>
      </c>
      <c r="E258" s="106">
        <v>4</v>
      </c>
      <c r="F258" s="200" t="s">
        <v>2785</v>
      </c>
      <c r="G258" s="200" t="s">
        <v>200</v>
      </c>
      <c r="H258" s="199">
        <v>1.75</v>
      </c>
    </row>
    <row r="259" spans="2:8" x14ac:dyDescent="0.25">
      <c r="B259" s="112" t="s">
        <v>2908</v>
      </c>
      <c r="C259" s="234" t="s">
        <v>210</v>
      </c>
      <c r="D259" s="106">
        <v>108</v>
      </c>
      <c r="E259" s="106">
        <v>4</v>
      </c>
      <c r="F259" s="200" t="s">
        <v>2785</v>
      </c>
      <c r="G259" s="200" t="s">
        <v>2836</v>
      </c>
      <c r="H259" s="199">
        <v>0.255</v>
      </c>
    </row>
    <row r="260" spans="2:8" x14ac:dyDescent="0.25">
      <c r="B260" s="112" t="s">
        <v>2908</v>
      </c>
      <c r="C260" s="234" t="s">
        <v>210</v>
      </c>
      <c r="D260" s="106">
        <v>108</v>
      </c>
      <c r="E260" s="106">
        <v>4</v>
      </c>
      <c r="F260" s="200" t="s">
        <v>2786</v>
      </c>
      <c r="G260" s="200" t="s">
        <v>44</v>
      </c>
      <c r="H260" s="199">
        <v>5.62</v>
      </c>
    </row>
    <row r="261" spans="2:8" x14ac:dyDescent="0.25">
      <c r="B261" s="112" t="s">
        <v>2908</v>
      </c>
      <c r="C261" s="112"/>
      <c r="D261" s="112">
        <v>108</v>
      </c>
      <c r="E261" s="112">
        <v>4</v>
      </c>
      <c r="F261" s="112" t="s">
        <v>2785</v>
      </c>
      <c r="G261" s="234"/>
      <c r="H261" s="277">
        <v>1.115</v>
      </c>
    </row>
    <row r="262" spans="2:8" x14ac:dyDescent="0.25">
      <c r="B262" s="112" t="s">
        <v>2908</v>
      </c>
      <c r="C262" s="97" t="s">
        <v>210</v>
      </c>
      <c r="D262" s="97">
        <v>108</v>
      </c>
      <c r="E262" s="97">
        <v>4</v>
      </c>
      <c r="F262" s="287" t="s">
        <v>2785</v>
      </c>
      <c r="G262" s="287" t="s">
        <v>3213</v>
      </c>
      <c r="H262" s="129">
        <v>1.095</v>
      </c>
    </row>
    <row r="263" spans="2:8" x14ac:dyDescent="0.25">
      <c r="B263" s="112" t="s">
        <v>2908</v>
      </c>
      <c r="C263" s="97" t="s">
        <v>210</v>
      </c>
      <c r="D263" s="97">
        <v>108</v>
      </c>
      <c r="E263" s="97">
        <v>4</v>
      </c>
      <c r="F263" s="287" t="s">
        <v>3214</v>
      </c>
      <c r="G263" s="287" t="s">
        <v>3215</v>
      </c>
      <c r="H263" s="129">
        <v>1.02</v>
      </c>
    </row>
    <row r="264" spans="2:8" x14ac:dyDescent="0.25">
      <c r="B264" s="112" t="s">
        <v>2908</v>
      </c>
      <c r="C264" s="97" t="s">
        <v>210</v>
      </c>
      <c r="D264" s="97">
        <v>108</v>
      </c>
      <c r="E264" s="97">
        <v>4</v>
      </c>
      <c r="F264" s="287" t="s">
        <v>2785</v>
      </c>
      <c r="G264" s="287" t="s">
        <v>3216</v>
      </c>
      <c r="H264" s="129">
        <v>8.5000000000000006E-2</v>
      </c>
    </row>
    <row r="265" spans="2:8" x14ac:dyDescent="0.25">
      <c r="B265" s="112" t="s">
        <v>2908</v>
      </c>
      <c r="C265" s="97">
        <v>20</v>
      </c>
      <c r="D265" s="97">
        <v>108</v>
      </c>
      <c r="E265" s="97">
        <v>4</v>
      </c>
      <c r="F265" s="287" t="s">
        <v>2785</v>
      </c>
      <c r="G265" s="287" t="s">
        <v>3217</v>
      </c>
      <c r="H265" s="129">
        <v>0.09</v>
      </c>
    </row>
    <row r="266" spans="2:8" x14ac:dyDescent="0.25">
      <c r="B266" s="112" t="s">
        <v>2908</v>
      </c>
      <c r="C266" s="257" t="s">
        <v>210</v>
      </c>
      <c r="D266" s="258">
        <v>108</v>
      </c>
      <c r="E266" s="234">
        <v>4.5</v>
      </c>
      <c r="F266" s="234"/>
      <c r="G266" s="234"/>
      <c r="H266" s="279">
        <v>1.19</v>
      </c>
    </row>
    <row r="267" spans="2:8" x14ac:dyDescent="0.25">
      <c r="B267" s="112" t="s">
        <v>2908</v>
      </c>
      <c r="C267" s="97" t="s">
        <v>210</v>
      </c>
      <c r="D267" s="97">
        <v>108</v>
      </c>
      <c r="E267" s="97">
        <v>4.5</v>
      </c>
      <c r="F267" s="287" t="s">
        <v>2785</v>
      </c>
      <c r="G267" s="287" t="s">
        <v>3089</v>
      </c>
      <c r="H267" s="129">
        <v>8.5000000000000006E-2</v>
      </c>
    </row>
    <row r="268" spans="2:8" x14ac:dyDescent="0.25">
      <c r="B268" s="112" t="s">
        <v>2908</v>
      </c>
      <c r="C268" s="106">
        <v>20</v>
      </c>
      <c r="D268" s="234">
        <v>108</v>
      </c>
      <c r="E268" s="234">
        <v>5</v>
      </c>
      <c r="F268" s="198" t="s">
        <v>234</v>
      </c>
      <c r="G268" s="198" t="s">
        <v>2837</v>
      </c>
      <c r="H268" s="199">
        <v>0.11</v>
      </c>
    </row>
    <row r="269" spans="2:8" x14ac:dyDescent="0.25">
      <c r="B269" s="112" t="s">
        <v>2908</v>
      </c>
      <c r="C269" s="112">
        <v>20</v>
      </c>
      <c r="D269" s="112">
        <v>108</v>
      </c>
      <c r="E269" s="112">
        <v>5</v>
      </c>
      <c r="F269" s="112" t="s">
        <v>2899</v>
      </c>
      <c r="G269" s="234" t="s">
        <v>2882</v>
      </c>
      <c r="H269" s="202">
        <v>0.23200000000000001</v>
      </c>
    </row>
    <row r="270" spans="2:8" x14ac:dyDescent="0.25">
      <c r="B270" s="112" t="s">
        <v>2908</v>
      </c>
      <c r="C270" s="257" t="s">
        <v>210</v>
      </c>
      <c r="D270" s="258">
        <v>108</v>
      </c>
      <c r="E270" s="234">
        <v>5</v>
      </c>
      <c r="F270" s="234" t="s">
        <v>2951</v>
      </c>
      <c r="G270" s="234"/>
      <c r="H270" s="279">
        <v>1.2</v>
      </c>
    </row>
    <row r="271" spans="2:8" x14ac:dyDescent="0.2">
      <c r="B271" s="134" t="s">
        <v>202</v>
      </c>
      <c r="C271" s="134" t="s">
        <v>210</v>
      </c>
      <c r="D271" s="134">
        <v>108</v>
      </c>
      <c r="E271" s="134">
        <v>5</v>
      </c>
      <c r="F271" s="22" t="s">
        <v>2910</v>
      </c>
      <c r="G271" s="22" t="s">
        <v>3052</v>
      </c>
      <c r="H271" s="181">
        <v>1.57</v>
      </c>
    </row>
    <row r="272" spans="2:8" x14ac:dyDescent="0.25">
      <c r="B272" s="112" t="s">
        <v>2908</v>
      </c>
      <c r="C272" s="112"/>
      <c r="D272" s="112">
        <v>108</v>
      </c>
      <c r="E272" s="112">
        <v>7</v>
      </c>
      <c r="F272" s="112" t="s">
        <v>2785</v>
      </c>
      <c r="G272" s="70">
        <v>7.6</v>
      </c>
      <c r="H272" s="202">
        <v>0.13300000000000001</v>
      </c>
    </row>
    <row r="273" spans="2:8" x14ac:dyDescent="0.25">
      <c r="B273" s="112" t="s">
        <v>2908</v>
      </c>
      <c r="C273" s="97" t="s">
        <v>210</v>
      </c>
      <c r="D273" s="97">
        <v>108</v>
      </c>
      <c r="E273" s="97">
        <v>7</v>
      </c>
      <c r="F273" s="287" t="s">
        <v>2785</v>
      </c>
      <c r="G273" s="287" t="s">
        <v>3042</v>
      </c>
      <c r="H273" s="129">
        <v>0.13500000000000001</v>
      </c>
    </row>
    <row r="274" spans="2:8" x14ac:dyDescent="0.25">
      <c r="B274" s="112" t="s">
        <v>2908</v>
      </c>
      <c r="C274" s="112">
        <v>20</v>
      </c>
      <c r="D274" s="112">
        <v>108</v>
      </c>
      <c r="E274" s="112">
        <v>8</v>
      </c>
      <c r="F274" s="240" t="s">
        <v>2900</v>
      </c>
      <c r="G274" s="234" t="s">
        <v>2883</v>
      </c>
      <c r="H274" s="202">
        <v>0.35899999999999999</v>
      </c>
    </row>
    <row r="275" spans="2:8" x14ac:dyDescent="0.25">
      <c r="B275" s="234" t="s">
        <v>3001</v>
      </c>
      <c r="C275" s="55" t="s">
        <v>313</v>
      </c>
      <c r="D275" s="263">
        <v>108</v>
      </c>
      <c r="E275" s="263">
        <v>8</v>
      </c>
      <c r="F275" s="260" t="s">
        <v>3016</v>
      </c>
      <c r="G275" s="234"/>
      <c r="H275" s="202">
        <v>1.47</v>
      </c>
    </row>
    <row r="276" spans="2:8" x14ac:dyDescent="0.25">
      <c r="B276" s="112" t="s">
        <v>2908</v>
      </c>
      <c r="C276" s="97" t="s">
        <v>210</v>
      </c>
      <c r="D276" s="97">
        <v>108</v>
      </c>
      <c r="E276" s="97">
        <v>8</v>
      </c>
      <c r="F276" s="287" t="s">
        <v>2785</v>
      </c>
      <c r="G276" s="287" t="s">
        <v>3218</v>
      </c>
      <c r="H276" s="129">
        <v>0.16</v>
      </c>
    </row>
    <row r="277" spans="2:8" x14ac:dyDescent="0.25">
      <c r="B277" s="112" t="s">
        <v>2908</v>
      </c>
      <c r="C277" s="112" t="s">
        <v>210</v>
      </c>
      <c r="D277" s="14">
        <v>108</v>
      </c>
      <c r="E277" s="112">
        <v>9</v>
      </c>
      <c r="F277" s="234" t="s">
        <v>150</v>
      </c>
      <c r="G277" s="288" t="s">
        <v>277</v>
      </c>
      <c r="H277" s="271">
        <v>0.97</v>
      </c>
    </row>
    <row r="278" spans="2:8" x14ac:dyDescent="0.25">
      <c r="B278" s="112" t="s">
        <v>2908</v>
      </c>
      <c r="C278" s="112" t="s">
        <v>210</v>
      </c>
      <c r="D278" s="14">
        <v>108</v>
      </c>
      <c r="E278" s="112">
        <v>10</v>
      </c>
      <c r="F278" s="234" t="s">
        <v>150</v>
      </c>
      <c r="G278" s="288" t="s">
        <v>277</v>
      </c>
      <c r="H278" s="271">
        <v>1.23</v>
      </c>
    </row>
    <row r="279" spans="2:8" x14ac:dyDescent="0.25">
      <c r="B279" s="112" t="s">
        <v>2908</v>
      </c>
      <c r="C279" s="112">
        <v>20</v>
      </c>
      <c r="D279" s="6">
        <v>108</v>
      </c>
      <c r="E279" s="112">
        <v>10</v>
      </c>
      <c r="F279" s="112" t="s">
        <v>2785</v>
      </c>
      <c r="G279" s="234"/>
      <c r="H279" s="202">
        <v>0.217</v>
      </c>
    </row>
    <row r="280" spans="2:8" x14ac:dyDescent="0.25">
      <c r="B280" s="112" t="s">
        <v>2908</v>
      </c>
      <c r="C280" s="97" t="s">
        <v>306</v>
      </c>
      <c r="D280" s="97">
        <v>108</v>
      </c>
      <c r="E280" s="97">
        <v>11</v>
      </c>
      <c r="F280" s="287" t="s">
        <v>2785</v>
      </c>
      <c r="G280" s="287" t="s">
        <v>3043</v>
      </c>
      <c r="H280" s="129">
        <v>3.66</v>
      </c>
    </row>
    <row r="281" spans="2:8" x14ac:dyDescent="0.25">
      <c r="B281" s="112" t="s">
        <v>2908</v>
      </c>
      <c r="C281" s="112">
        <v>20</v>
      </c>
      <c r="D281" s="6">
        <v>108</v>
      </c>
      <c r="E281" s="112">
        <v>12</v>
      </c>
      <c r="F281" s="112" t="s">
        <v>2785</v>
      </c>
      <c r="G281" s="234"/>
      <c r="H281" s="202">
        <v>2.2480000000000002</v>
      </c>
    </row>
    <row r="282" spans="2:8" x14ac:dyDescent="0.25">
      <c r="B282" s="112" t="s">
        <v>2908</v>
      </c>
      <c r="C282" s="55" t="s">
        <v>1711</v>
      </c>
      <c r="D282" s="263">
        <v>108</v>
      </c>
      <c r="E282" s="263">
        <v>25</v>
      </c>
      <c r="F282" s="260" t="s">
        <v>150</v>
      </c>
      <c r="G282" s="234"/>
      <c r="H282" s="202">
        <v>0.34499999999999997</v>
      </c>
    </row>
    <row r="283" spans="2:8" x14ac:dyDescent="0.2">
      <c r="B283" s="134" t="s">
        <v>3093</v>
      </c>
      <c r="C283" s="134" t="s">
        <v>3128</v>
      </c>
      <c r="D283" s="134">
        <v>114</v>
      </c>
      <c r="E283" s="134">
        <v>2.5</v>
      </c>
      <c r="F283" s="22"/>
      <c r="G283" s="22" t="s">
        <v>3114</v>
      </c>
      <c r="H283" s="181">
        <v>0.05</v>
      </c>
    </row>
    <row r="284" spans="2:8" x14ac:dyDescent="0.25">
      <c r="B284" s="187" t="s">
        <v>202</v>
      </c>
      <c r="C284" s="112"/>
      <c r="D284" s="112">
        <v>114</v>
      </c>
      <c r="E284" s="112">
        <v>3</v>
      </c>
      <c r="F284" s="112" t="s">
        <v>2794</v>
      </c>
      <c r="G284" s="70">
        <v>11.4</v>
      </c>
      <c r="H284" s="202">
        <v>11.972</v>
      </c>
    </row>
    <row r="285" spans="2:8" x14ac:dyDescent="0.2">
      <c r="B285" s="134" t="s">
        <v>3001</v>
      </c>
      <c r="C285" s="134" t="s">
        <v>3119</v>
      </c>
      <c r="D285" s="134">
        <v>114</v>
      </c>
      <c r="E285" s="134">
        <v>3</v>
      </c>
      <c r="F285" s="22"/>
      <c r="G285" s="22" t="s">
        <v>3129</v>
      </c>
      <c r="H285" s="181">
        <v>0.105</v>
      </c>
    </row>
    <row r="286" spans="2:8" x14ac:dyDescent="0.2">
      <c r="B286" s="134" t="s">
        <v>3001</v>
      </c>
      <c r="C286" s="134" t="s">
        <v>3102</v>
      </c>
      <c r="D286" s="134">
        <v>114</v>
      </c>
      <c r="E286" s="134">
        <v>3</v>
      </c>
      <c r="F286" s="22"/>
      <c r="G286" s="22" t="s">
        <v>3130</v>
      </c>
      <c r="H286" s="181">
        <v>0.03</v>
      </c>
    </row>
    <row r="287" spans="2:8" x14ac:dyDescent="0.25">
      <c r="B287" s="187" t="s">
        <v>2811</v>
      </c>
      <c r="C287" s="112"/>
      <c r="D287" s="112">
        <v>114</v>
      </c>
      <c r="E287" s="106">
        <v>4</v>
      </c>
      <c r="F287" s="112" t="s">
        <v>2794</v>
      </c>
      <c r="G287" s="70">
        <v>6</v>
      </c>
      <c r="H287" s="202">
        <v>4.3579999999999997</v>
      </c>
    </row>
    <row r="288" spans="2:8" x14ac:dyDescent="0.25">
      <c r="B288" s="112" t="s">
        <v>2908</v>
      </c>
      <c r="C288" s="187"/>
      <c r="D288" s="112">
        <v>114</v>
      </c>
      <c r="E288" s="187">
        <v>4</v>
      </c>
      <c r="F288" s="112" t="s">
        <v>2785</v>
      </c>
      <c r="G288" s="70">
        <v>12</v>
      </c>
      <c r="H288" s="202">
        <f>10.416+7.708</f>
        <v>18.124000000000002</v>
      </c>
    </row>
    <row r="289" spans="2:8" x14ac:dyDescent="0.2">
      <c r="B289" s="134" t="s">
        <v>202</v>
      </c>
      <c r="C289" s="134">
        <v>3</v>
      </c>
      <c r="D289" s="134">
        <v>114</v>
      </c>
      <c r="E289" s="134">
        <v>4</v>
      </c>
      <c r="F289" s="22" t="s">
        <v>2794</v>
      </c>
      <c r="G289" s="22" t="s">
        <v>3053</v>
      </c>
      <c r="H289" s="181">
        <v>8.2530000000000001</v>
      </c>
    </row>
    <row r="290" spans="2:8" x14ac:dyDescent="0.25">
      <c r="B290" s="187" t="s">
        <v>202</v>
      </c>
      <c r="C290" s="112">
        <v>20</v>
      </c>
      <c r="D290" s="112">
        <v>114</v>
      </c>
      <c r="E290" s="112">
        <v>4.5</v>
      </c>
      <c r="F290" s="112" t="s">
        <v>2794</v>
      </c>
      <c r="G290" s="234" t="s">
        <v>2866</v>
      </c>
      <c r="H290" s="202">
        <v>0.23799999999999999</v>
      </c>
    </row>
    <row r="291" spans="2:8" x14ac:dyDescent="0.25">
      <c r="B291" s="112" t="s">
        <v>2908</v>
      </c>
      <c r="C291" s="97" t="s">
        <v>210</v>
      </c>
      <c r="D291" s="97">
        <v>114</v>
      </c>
      <c r="E291" s="97">
        <v>4.5</v>
      </c>
      <c r="F291" s="287" t="s">
        <v>2785</v>
      </c>
      <c r="G291" s="287" t="s">
        <v>3221</v>
      </c>
      <c r="H291" s="129">
        <v>0.33</v>
      </c>
    </row>
    <row r="292" spans="2:8" x14ac:dyDescent="0.25">
      <c r="B292" s="112" t="s">
        <v>2908</v>
      </c>
      <c r="C292" s="112">
        <v>20</v>
      </c>
      <c r="D292" s="6">
        <v>114</v>
      </c>
      <c r="E292" s="112">
        <v>5</v>
      </c>
      <c r="F292" s="112" t="s">
        <v>2785</v>
      </c>
      <c r="G292" s="234" t="s">
        <v>2884</v>
      </c>
      <c r="H292" s="202">
        <v>0.628</v>
      </c>
    </row>
    <row r="293" spans="2:8" x14ac:dyDescent="0.25">
      <c r="B293" s="187" t="s">
        <v>2901</v>
      </c>
      <c r="C293" s="234"/>
      <c r="D293" s="234">
        <v>114</v>
      </c>
      <c r="E293" s="234">
        <v>5</v>
      </c>
      <c r="F293" s="244"/>
      <c r="G293" s="234"/>
      <c r="H293" s="274">
        <v>4.4000000000000004</v>
      </c>
    </row>
    <row r="294" spans="2:8" x14ac:dyDescent="0.25">
      <c r="B294" s="112" t="s">
        <v>2908</v>
      </c>
      <c r="C294" s="97" t="s">
        <v>210</v>
      </c>
      <c r="D294" s="97">
        <v>114</v>
      </c>
      <c r="E294" s="97">
        <v>5</v>
      </c>
      <c r="F294" s="287" t="s">
        <v>2785</v>
      </c>
      <c r="G294" s="287" t="s">
        <v>3222</v>
      </c>
      <c r="H294" s="129">
        <v>2.3199999999999998</v>
      </c>
    </row>
    <row r="295" spans="2:8" x14ac:dyDescent="0.25">
      <c r="B295" s="112" t="s">
        <v>2908</v>
      </c>
      <c r="C295" s="97" t="s">
        <v>215</v>
      </c>
      <c r="D295" s="97">
        <v>114</v>
      </c>
      <c r="E295" s="97">
        <v>5</v>
      </c>
      <c r="F295" s="287" t="s">
        <v>3223</v>
      </c>
      <c r="G295" s="287" t="s">
        <v>3224</v>
      </c>
      <c r="H295" s="129">
        <v>0.81</v>
      </c>
    </row>
    <row r="296" spans="2:8" x14ac:dyDescent="0.25">
      <c r="B296" s="112" t="s">
        <v>2908</v>
      </c>
      <c r="C296" s="106" t="s">
        <v>211</v>
      </c>
      <c r="D296" s="106">
        <v>114</v>
      </c>
      <c r="E296" s="106">
        <v>6</v>
      </c>
      <c r="F296" s="198" t="s">
        <v>230</v>
      </c>
      <c r="G296" s="198" t="s">
        <v>2838</v>
      </c>
      <c r="H296" s="201">
        <v>0.61699999999999999</v>
      </c>
    </row>
    <row r="297" spans="2:8" x14ac:dyDescent="0.25">
      <c r="B297" s="187" t="s">
        <v>202</v>
      </c>
      <c r="C297" s="112">
        <v>20</v>
      </c>
      <c r="D297" s="112">
        <v>114</v>
      </c>
      <c r="E297" s="112">
        <v>6</v>
      </c>
      <c r="F297" s="112" t="s">
        <v>2794</v>
      </c>
      <c r="G297" s="234" t="s">
        <v>2867</v>
      </c>
      <c r="H297" s="202">
        <v>0.14399999999999999</v>
      </c>
    </row>
    <row r="298" spans="2:8" x14ac:dyDescent="0.25">
      <c r="B298" s="112" t="s">
        <v>2908</v>
      </c>
      <c r="C298" s="187"/>
      <c r="D298" s="187">
        <v>114</v>
      </c>
      <c r="E298" s="187">
        <v>6</v>
      </c>
      <c r="F298" s="112" t="s">
        <v>2785</v>
      </c>
      <c r="G298" s="234" t="s">
        <v>2885</v>
      </c>
      <c r="H298" s="202">
        <f>1.094+0.111</f>
        <v>1.2050000000000001</v>
      </c>
    </row>
    <row r="299" spans="2:8" x14ac:dyDescent="0.25">
      <c r="B299" s="112" t="s">
        <v>2908</v>
      </c>
      <c r="C299" s="187"/>
      <c r="D299" s="187">
        <v>114</v>
      </c>
      <c r="E299" s="187">
        <v>6</v>
      </c>
      <c r="F299" s="112" t="s">
        <v>2785</v>
      </c>
      <c r="G299" s="70">
        <v>12</v>
      </c>
      <c r="H299" s="202">
        <v>3.4510000000000001</v>
      </c>
    </row>
    <row r="300" spans="2:8" x14ac:dyDescent="0.25">
      <c r="B300" s="112" t="s">
        <v>2908</v>
      </c>
      <c r="C300" s="112">
        <v>20</v>
      </c>
      <c r="D300" s="6">
        <v>114</v>
      </c>
      <c r="E300" s="112">
        <v>6</v>
      </c>
      <c r="F300" s="242" t="s">
        <v>2898</v>
      </c>
      <c r="G300" s="234">
        <v>12.15</v>
      </c>
      <c r="H300" s="202">
        <v>0.19500000000000001</v>
      </c>
    </row>
    <row r="301" spans="2:8" x14ac:dyDescent="0.2">
      <c r="B301" s="134" t="s">
        <v>202</v>
      </c>
      <c r="C301" s="134" t="s">
        <v>210</v>
      </c>
      <c r="D301" s="134">
        <v>114</v>
      </c>
      <c r="E301" s="134">
        <v>6</v>
      </c>
      <c r="F301" s="22" t="s">
        <v>2794</v>
      </c>
      <c r="G301" s="22" t="s">
        <v>3054</v>
      </c>
      <c r="H301" s="181">
        <v>12.654999999999999</v>
      </c>
    </row>
    <row r="302" spans="2:8" x14ac:dyDescent="0.2">
      <c r="B302" s="134" t="s">
        <v>3001</v>
      </c>
      <c r="C302" s="134" t="s">
        <v>249</v>
      </c>
      <c r="D302" s="134">
        <v>114</v>
      </c>
      <c r="E302" s="134">
        <v>6</v>
      </c>
      <c r="F302" s="22"/>
      <c r="G302" s="22" t="s">
        <v>3131</v>
      </c>
      <c r="H302" s="181">
        <v>0.28999999999999998</v>
      </c>
    </row>
    <row r="303" spans="2:8" x14ac:dyDescent="0.25">
      <c r="B303" s="112" t="s">
        <v>2908</v>
      </c>
      <c r="C303" s="97" t="s">
        <v>210</v>
      </c>
      <c r="D303" s="97">
        <v>114</v>
      </c>
      <c r="E303" s="97">
        <v>6</v>
      </c>
      <c r="F303" s="287" t="s">
        <v>2785</v>
      </c>
      <c r="G303" s="287" t="s">
        <v>3225</v>
      </c>
      <c r="H303" s="129">
        <v>13.47</v>
      </c>
    </row>
    <row r="304" spans="2:8" x14ac:dyDescent="0.25">
      <c r="B304" s="112" t="s">
        <v>2908</v>
      </c>
      <c r="C304" s="97" t="s">
        <v>211</v>
      </c>
      <c r="D304" s="97">
        <v>114</v>
      </c>
      <c r="E304" s="97">
        <v>6</v>
      </c>
      <c r="F304" s="287" t="s">
        <v>230</v>
      </c>
      <c r="G304" s="287" t="s">
        <v>3215</v>
      </c>
      <c r="H304" s="129">
        <v>7.64</v>
      </c>
    </row>
    <row r="305" spans="2:8" x14ac:dyDescent="0.25">
      <c r="B305" s="112" t="s">
        <v>2908</v>
      </c>
      <c r="C305" s="97" t="s">
        <v>3226</v>
      </c>
      <c r="D305" s="97">
        <v>114</v>
      </c>
      <c r="E305" s="97">
        <v>6.5</v>
      </c>
      <c r="F305" s="287" t="s">
        <v>2785</v>
      </c>
      <c r="G305" s="287" t="s">
        <v>3227</v>
      </c>
      <c r="H305" s="129">
        <v>0.19500000000000001</v>
      </c>
    </row>
    <row r="306" spans="2:8" x14ac:dyDescent="0.25">
      <c r="B306" s="97" t="s">
        <v>3206</v>
      </c>
      <c r="C306" s="97"/>
      <c r="D306" s="97">
        <v>114</v>
      </c>
      <c r="E306" s="97">
        <v>6.88</v>
      </c>
      <c r="F306" s="287"/>
      <c r="G306" s="287" t="s">
        <v>3228</v>
      </c>
      <c r="H306" s="129">
        <v>11.355</v>
      </c>
    </row>
    <row r="307" spans="2:8" x14ac:dyDescent="0.25">
      <c r="B307" s="97" t="s">
        <v>3206</v>
      </c>
      <c r="C307" s="97" t="s">
        <v>3229</v>
      </c>
      <c r="D307" s="97">
        <v>114</v>
      </c>
      <c r="E307" s="97">
        <v>6.88</v>
      </c>
      <c r="F307" s="287"/>
      <c r="G307" s="287" t="s">
        <v>3208</v>
      </c>
      <c r="H307" s="129">
        <v>1.7</v>
      </c>
    </row>
    <row r="308" spans="2:8" x14ac:dyDescent="0.25">
      <c r="B308" s="97" t="s">
        <v>3206</v>
      </c>
      <c r="C308" s="97" t="s">
        <v>3230</v>
      </c>
      <c r="D308" s="97">
        <v>114</v>
      </c>
      <c r="E308" s="97">
        <v>7.5</v>
      </c>
      <c r="F308" s="287"/>
      <c r="G308" s="287" t="s">
        <v>3208</v>
      </c>
      <c r="H308" s="129">
        <v>71.02</v>
      </c>
    </row>
    <row r="309" spans="2:8" x14ac:dyDescent="0.25">
      <c r="B309" s="112" t="s">
        <v>2908</v>
      </c>
      <c r="C309" s="97" t="s">
        <v>3186</v>
      </c>
      <c r="D309" s="97">
        <v>114</v>
      </c>
      <c r="E309" s="97">
        <v>7.5</v>
      </c>
      <c r="F309" s="287" t="s">
        <v>2785</v>
      </c>
      <c r="G309" s="287" t="s">
        <v>3231</v>
      </c>
      <c r="H309" s="129">
        <v>0.15</v>
      </c>
    </row>
    <row r="310" spans="2:8" x14ac:dyDescent="0.25">
      <c r="B310" s="112" t="s">
        <v>2908</v>
      </c>
      <c r="C310" s="257" t="s">
        <v>210</v>
      </c>
      <c r="D310" s="257">
        <v>114</v>
      </c>
      <c r="E310" s="234">
        <v>8</v>
      </c>
      <c r="F310" s="234" t="s">
        <v>2960</v>
      </c>
      <c r="G310" s="234"/>
      <c r="H310" s="279">
        <v>6.8520000000000003</v>
      </c>
    </row>
    <row r="311" spans="2:8" x14ac:dyDescent="0.25">
      <c r="B311" s="112" t="s">
        <v>2908</v>
      </c>
      <c r="C311" s="97" t="s">
        <v>215</v>
      </c>
      <c r="D311" s="97">
        <v>114</v>
      </c>
      <c r="E311" s="97">
        <v>8</v>
      </c>
      <c r="F311" s="287" t="s">
        <v>3223</v>
      </c>
      <c r="G311" s="287" t="s">
        <v>3232</v>
      </c>
      <c r="H311" s="129">
        <v>0.435</v>
      </c>
    </row>
    <row r="312" spans="2:8" x14ac:dyDescent="0.25">
      <c r="B312" s="112" t="s">
        <v>2908</v>
      </c>
      <c r="C312" s="97" t="s">
        <v>212</v>
      </c>
      <c r="D312" s="97">
        <v>114</v>
      </c>
      <c r="E312" s="97">
        <v>8</v>
      </c>
      <c r="F312" s="287" t="s">
        <v>2785</v>
      </c>
      <c r="G312" s="287" t="s">
        <v>3233</v>
      </c>
      <c r="H312" s="129">
        <v>5.82</v>
      </c>
    </row>
    <row r="313" spans="2:8" x14ac:dyDescent="0.25">
      <c r="B313" s="112" t="s">
        <v>2908</v>
      </c>
      <c r="C313" s="97" t="s">
        <v>212</v>
      </c>
      <c r="D313" s="97">
        <v>114</v>
      </c>
      <c r="E313" s="97">
        <v>8.5</v>
      </c>
      <c r="F313" s="97" t="s">
        <v>2785</v>
      </c>
      <c r="G313" s="97"/>
      <c r="H313" s="278">
        <v>41.49</v>
      </c>
    </row>
    <row r="314" spans="2:8" x14ac:dyDescent="0.25">
      <c r="B314" s="97" t="s">
        <v>3206</v>
      </c>
      <c r="C314" s="97" t="s">
        <v>3234</v>
      </c>
      <c r="D314" s="97">
        <v>114</v>
      </c>
      <c r="E314" s="97">
        <v>8.56</v>
      </c>
      <c r="F314" s="287"/>
      <c r="G314" s="287" t="s">
        <v>3208</v>
      </c>
      <c r="H314" s="129">
        <v>22</v>
      </c>
    </row>
    <row r="315" spans="2:8" x14ac:dyDescent="0.25">
      <c r="B315" s="97" t="s">
        <v>3206</v>
      </c>
      <c r="C315" s="97" t="s">
        <v>3235</v>
      </c>
      <c r="D315" s="97">
        <v>114</v>
      </c>
      <c r="E315" s="97">
        <v>8.56</v>
      </c>
      <c r="F315" s="287"/>
      <c r="G315" s="287" t="s">
        <v>3208</v>
      </c>
      <c r="H315" s="129">
        <v>37.6</v>
      </c>
    </row>
    <row r="316" spans="2:8" x14ac:dyDescent="0.25">
      <c r="B316" s="112" t="s">
        <v>2908</v>
      </c>
      <c r="C316" s="112">
        <v>20</v>
      </c>
      <c r="D316" s="6">
        <v>114</v>
      </c>
      <c r="E316" s="112">
        <v>9</v>
      </c>
      <c r="F316" s="112" t="s">
        <v>2785</v>
      </c>
      <c r="G316" s="234"/>
      <c r="H316" s="202">
        <v>0.29799999999999999</v>
      </c>
    </row>
    <row r="317" spans="2:8" x14ac:dyDescent="0.25">
      <c r="B317" s="112" t="s">
        <v>2908</v>
      </c>
      <c r="C317" s="55">
        <v>20</v>
      </c>
      <c r="D317" s="263">
        <v>114</v>
      </c>
      <c r="E317" s="263">
        <v>9</v>
      </c>
      <c r="F317" s="260" t="s">
        <v>150</v>
      </c>
      <c r="G317" s="234"/>
      <c r="H317" s="202">
        <v>0.253</v>
      </c>
    </row>
    <row r="318" spans="2:8" x14ac:dyDescent="0.25">
      <c r="B318" s="112" t="s">
        <v>2908</v>
      </c>
      <c r="C318" s="77" t="s">
        <v>213</v>
      </c>
      <c r="D318" s="112">
        <v>114</v>
      </c>
      <c r="E318" s="237">
        <v>10</v>
      </c>
      <c r="F318" s="77" t="s">
        <v>227</v>
      </c>
      <c r="G318" s="77" t="s">
        <v>9</v>
      </c>
      <c r="H318" s="272">
        <v>1.52</v>
      </c>
    </row>
    <row r="319" spans="2:8" x14ac:dyDescent="0.25">
      <c r="B319" s="112" t="s">
        <v>2908</v>
      </c>
      <c r="C319" s="234" t="s">
        <v>210</v>
      </c>
      <c r="D319" s="234">
        <v>114</v>
      </c>
      <c r="E319" s="106">
        <v>10</v>
      </c>
      <c r="F319" s="200" t="s">
        <v>2785</v>
      </c>
      <c r="G319" s="198" t="s">
        <v>2839</v>
      </c>
      <c r="H319" s="201">
        <v>17.93</v>
      </c>
    </row>
    <row r="320" spans="2:8" x14ac:dyDescent="0.25">
      <c r="B320" s="112" t="s">
        <v>2908</v>
      </c>
      <c r="C320" s="106" t="s">
        <v>289</v>
      </c>
      <c r="D320" s="234">
        <v>114</v>
      </c>
      <c r="E320" s="106">
        <v>10</v>
      </c>
      <c r="F320" s="200" t="s">
        <v>2789</v>
      </c>
      <c r="G320" s="200" t="s">
        <v>200</v>
      </c>
      <c r="H320" s="199">
        <v>0.36</v>
      </c>
    </row>
    <row r="321" spans="2:8" x14ac:dyDescent="0.2">
      <c r="B321" s="234" t="s">
        <v>3547</v>
      </c>
      <c r="C321" s="234" t="s">
        <v>215</v>
      </c>
      <c r="D321" s="234">
        <v>114</v>
      </c>
      <c r="E321" s="234">
        <v>10</v>
      </c>
      <c r="F321" s="234"/>
      <c r="G321" s="245" t="s">
        <v>2907</v>
      </c>
      <c r="H321" s="274">
        <v>12</v>
      </c>
    </row>
    <row r="322" spans="2:8" x14ac:dyDescent="0.25">
      <c r="B322" s="112" t="s">
        <v>2908</v>
      </c>
      <c r="C322" s="97" t="s">
        <v>210</v>
      </c>
      <c r="D322" s="97">
        <v>114</v>
      </c>
      <c r="E322" s="97">
        <v>10</v>
      </c>
      <c r="F322" s="97" t="s">
        <v>2785</v>
      </c>
      <c r="G322" s="97"/>
      <c r="H322" s="278">
        <v>14</v>
      </c>
    </row>
    <row r="323" spans="2:8" x14ac:dyDescent="0.25">
      <c r="B323" s="112" t="s">
        <v>2908</v>
      </c>
      <c r="C323" s="257" t="s">
        <v>213</v>
      </c>
      <c r="D323" s="257">
        <v>114</v>
      </c>
      <c r="E323" s="234">
        <v>10</v>
      </c>
      <c r="F323" s="234" t="s">
        <v>2956</v>
      </c>
      <c r="G323" s="234"/>
      <c r="H323" s="279">
        <v>1.514</v>
      </c>
    </row>
    <row r="324" spans="2:8" x14ac:dyDescent="0.25">
      <c r="B324" s="234" t="s">
        <v>3548</v>
      </c>
      <c r="C324" s="97" t="s">
        <v>3219</v>
      </c>
      <c r="D324" s="97">
        <v>114</v>
      </c>
      <c r="E324" s="97">
        <v>10</v>
      </c>
      <c r="F324" s="287"/>
      <c r="G324" s="287" t="s">
        <v>3220</v>
      </c>
      <c r="H324" s="129">
        <v>48</v>
      </c>
    </row>
    <row r="325" spans="2:8" x14ac:dyDescent="0.25">
      <c r="B325" s="112" t="s">
        <v>2908</v>
      </c>
      <c r="C325" s="77" t="s">
        <v>214</v>
      </c>
      <c r="D325" s="112">
        <v>114</v>
      </c>
      <c r="E325" s="237">
        <v>12</v>
      </c>
      <c r="F325" s="77" t="s">
        <v>228</v>
      </c>
      <c r="G325" s="77" t="s">
        <v>10</v>
      </c>
      <c r="H325" s="272">
        <v>2.44</v>
      </c>
    </row>
    <row r="326" spans="2:8" x14ac:dyDescent="0.25">
      <c r="B326" s="112" t="s">
        <v>2908</v>
      </c>
      <c r="C326" s="257" t="s">
        <v>214</v>
      </c>
      <c r="D326" s="257">
        <v>114</v>
      </c>
      <c r="E326" s="234">
        <v>12</v>
      </c>
      <c r="F326" s="234" t="s">
        <v>2958</v>
      </c>
      <c r="G326" s="234"/>
      <c r="H326" s="279">
        <v>2.4159999999999999</v>
      </c>
    </row>
    <row r="327" spans="2:8" x14ac:dyDescent="0.25">
      <c r="B327" s="97" t="s">
        <v>3169</v>
      </c>
      <c r="C327" s="97" t="s">
        <v>314</v>
      </c>
      <c r="D327" s="97">
        <v>114</v>
      </c>
      <c r="E327" s="97">
        <v>22</v>
      </c>
      <c r="F327" s="287" t="s">
        <v>234</v>
      </c>
      <c r="G327" s="287" t="s">
        <v>3440</v>
      </c>
      <c r="H327" s="129">
        <v>0.88700000000000001</v>
      </c>
    </row>
    <row r="328" spans="2:8" x14ac:dyDescent="0.25">
      <c r="B328" s="112" t="s">
        <v>2908</v>
      </c>
      <c r="C328" s="97">
        <v>35</v>
      </c>
      <c r="D328" s="97">
        <v>114</v>
      </c>
      <c r="E328" s="97">
        <v>24</v>
      </c>
      <c r="F328" s="287" t="s">
        <v>2785</v>
      </c>
      <c r="G328" s="287" t="s">
        <v>3236</v>
      </c>
      <c r="H328" s="129">
        <v>3.3149999999999999</v>
      </c>
    </row>
    <row r="329" spans="2:8" x14ac:dyDescent="0.25">
      <c r="B329" s="112" t="s">
        <v>2908</v>
      </c>
      <c r="C329" s="55" t="s">
        <v>2982</v>
      </c>
      <c r="D329" s="263">
        <v>114</v>
      </c>
      <c r="E329" s="263">
        <v>25</v>
      </c>
      <c r="F329" s="260" t="s">
        <v>150</v>
      </c>
      <c r="G329" s="234"/>
      <c r="H329" s="202">
        <v>0.29099999999999998</v>
      </c>
    </row>
    <row r="330" spans="2:8" x14ac:dyDescent="0.25">
      <c r="B330" s="234" t="s">
        <v>3169</v>
      </c>
      <c r="C330" s="55" t="s">
        <v>314</v>
      </c>
      <c r="D330" s="263">
        <v>121</v>
      </c>
      <c r="E330" s="263">
        <v>10</v>
      </c>
      <c r="F330" s="260" t="s">
        <v>3003</v>
      </c>
      <c r="G330" s="234"/>
      <c r="H330" s="202">
        <v>0.79600000000000004</v>
      </c>
    </row>
    <row r="331" spans="2:8" x14ac:dyDescent="0.25">
      <c r="B331" s="112" t="s">
        <v>2908</v>
      </c>
      <c r="C331" s="97" t="s">
        <v>212</v>
      </c>
      <c r="D331" s="97">
        <v>121</v>
      </c>
      <c r="E331" s="97">
        <v>24</v>
      </c>
      <c r="F331" s="287" t="s">
        <v>2785</v>
      </c>
      <c r="G331" s="287" t="s">
        <v>3237</v>
      </c>
      <c r="H331" s="129">
        <v>0.36499999999999999</v>
      </c>
    </row>
    <row r="332" spans="2:8" x14ac:dyDescent="0.25">
      <c r="B332" s="97" t="s">
        <v>3169</v>
      </c>
      <c r="C332" s="97" t="s">
        <v>314</v>
      </c>
      <c r="D332" s="97">
        <v>121</v>
      </c>
      <c r="E332" s="97">
        <v>25</v>
      </c>
      <c r="F332" s="287" t="s">
        <v>234</v>
      </c>
      <c r="G332" s="287" t="s">
        <v>3132</v>
      </c>
      <c r="H332" s="129">
        <v>10.81</v>
      </c>
    </row>
    <row r="333" spans="2:8" x14ac:dyDescent="0.25">
      <c r="B333" s="97" t="s">
        <v>3169</v>
      </c>
      <c r="C333" s="97" t="s">
        <v>314</v>
      </c>
      <c r="D333" s="97">
        <v>121</v>
      </c>
      <c r="E333" s="97">
        <v>26</v>
      </c>
      <c r="F333" s="287" t="s">
        <v>234</v>
      </c>
      <c r="G333" s="287" t="s">
        <v>3441</v>
      </c>
      <c r="H333" s="129">
        <v>0.91500000000000004</v>
      </c>
    </row>
    <row r="334" spans="2:8" x14ac:dyDescent="0.25">
      <c r="B334" s="97" t="s">
        <v>3169</v>
      </c>
      <c r="C334" s="97" t="s">
        <v>314</v>
      </c>
      <c r="D334" s="97">
        <v>121</v>
      </c>
      <c r="E334" s="97">
        <v>26</v>
      </c>
      <c r="F334" s="287" t="s">
        <v>234</v>
      </c>
      <c r="G334" s="287" t="s">
        <v>3442</v>
      </c>
      <c r="H334" s="129">
        <v>17.645</v>
      </c>
    </row>
    <row r="335" spans="2:8" x14ac:dyDescent="0.25">
      <c r="B335" s="187" t="s">
        <v>202</v>
      </c>
      <c r="C335" s="112">
        <v>20</v>
      </c>
      <c r="D335" s="112">
        <v>127</v>
      </c>
      <c r="E335" s="112">
        <v>3.5</v>
      </c>
      <c r="F335" s="112" t="s">
        <v>2794</v>
      </c>
      <c r="G335" s="234"/>
      <c r="H335" s="202">
        <v>0.13800000000000001</v>
      </c>
    </row>
    <row r="336" spans="2:8" x14ac:dyDescent="0.25">
      <c r="B336" s="234" t="s">
        <v>3001</v>
      </c>
      <c r="C336" s="55" t="s">
        <v>313</v>
      </c>
      <c r="D336" s="263">
        <v>127</v>
      </c>
      <c r="E336" s="261">
        <v>6.5</v>
      </c>
      <c r="F336" s="260" t="s">
        <v>3016</v>
      </c>
      <c r="G336" s="234"/>
      <c r="H336" s="202">
        <v>0.83</v>
      </c>
    </row>
    <row r="337" spans="2:8" x14ac:dyDescent="0.25">
      <c r="B337" s="234" t="s">
        <v>3548</v>
      </c>
      <c r="C337" s="97" t="s">
        <v>3219</v>
      </c>
      <c r="D337" s="97">
        <v>127</v>
      </c>
      <c r="E337" s="97">
        <v>9.5</v>
      </c>
      <c r="F337" s="287"/>
      <c r="G337" s="287" t="s">
        <v>3238</v>
      </c>
      <c r="H337" s="129">
        <v>18</v>
      </c>
    </row>
    <row r="338" spans="2:8" x14ac:dyDescent="0.25">
      <c r="B338" s="234" t="s">
        <v>3548</v>
      </c>
      <c r="C338" s="97" t="s">
        <v>3219</v>
      </c>
      <c r="D338" s="97">
        <v>127</v>
      </c>
      <c r="E338" s="97">
        <v>11</v>
      </c>
      <c r="F338" s="287"/>
      <c r="G338" s="287" t="s">
        <v>3220</v>
      </c>
      <c r="H338" s="129">
        <v>100</v>
      </c>
    </row>
    <row r="339" spans="2:8" x14ac:dyDescent="0.25">
      <c r="B339" s="234" t="s">
        <v>3169</v>
      </c>
      <c r="C339" s="55" t="s">
        <v>1711</v>
      </c>
      <c r="D339" s="263">
        <v>127</v>
      </c>
      <c r="E339" s="263">
        <v>18</v>
      </c>
      <c r="F339" s="260" t="s">
        <v>150</v>
      </c>
      <c r="G339" s="234"/>
      <c r="H339" s="202">
        <v>18.2</v>
      </c>
    </row>
    <row r="340" spans="2:8" x14ac:dyDescent="0.25">
      <c r="B340" s="234" t="s">
        <v>3169</v>
      </c>
      <c r="C340" s="55" t="s">
        <v>2984</v>
      </c>
      <c r="D340" s="263">
        <v>127</v>
      </c>
      <c r="E340" s="263">
        <v>20</v>
      </c>
      <c r="F340" s="260" t="s">
        <v>3005</v>
      </c>
      <c r="G340" s="234"/>
      <c r="H340" s="202">
        <v>0.92500000000000004</v>
      </c>
    </row>
    <row r="341" spans="2:8" x14ac:dyDescent="0.25">
      <c r="B341" s="112" t="s">
        <v>2908</v>
      </c>
      <c r="C341" s="97" t="s">
        <v>212</v>
      </c>
      <c r="D341" s="97">
        <v>127</v>
      </c>
      <c r="E341" s="97">
        <v>20</v>
      </c>
      <c r="F341" s="287" t="s">
        <v>2785</v>
      </c>
      <c r="G341" s="287" t="s">
        <v>3239</v>
      </c>
      <c r="H341" s="129">
        <v>0.96499999999999997</v>
      </c>
    </row>
    <row r="342" spans="2:8" x14ac:dyDescent="0.25">
      <c r="B342" s="112" t="s">
        <v>2908</v>
      </c>
      <c r="C342" s="97" t="s">
        <v>210</v>
      </c>
      <c r="D342" s="97">
        <v>130</v>
      </c>
      <c r="E342" s="97">
        <v>5</v>
      </c>
      <c r="F342" s="287" t="s">
        <v>2785</v>
      </c>
      <c r="G342" s="287" t="s">
        <v>3172</v>
      </c>
      <c r="H342" s="129">
        <v>1.91</v>
      </c>
    </row>
    <row r="343" spans="2:8" x14ac:dyDescent="0.25">
      <c r="B343" s="187" t="s">
        <v>202</v>
      </c>
      <c r="C343" s="112"/>
      <c r="D343" s="112">
        <v>133</v>
      </c>
      <c r="E343" s="112">
        <v>4</v>
      </c>
      <c r="F343" s="6" t="s">
        <v>2794</v>
      </c>
      <c r="G343" s="234"/>
      <c r="H343" s="202">
        <v>8.3000000000000004E-2</v>
      </c>
    </row>
    <row r="344" spans="2:8" x14ac:dyDescent="0.25">
      <c r="B344" s="112" t="s">
        <v>2908</v>
      </c>
      <c r="C344" s="112"/>
      <c r="D344" s="6">
        <v>133</v>
      </c>
      <c r="E344" s="112">
        <v>4</v>
      </c>
      <c r="F344" s="112" t="s">
        <v>2785</v>
      </c>
      <c r="G344" s="234"/>
      <c r="H344" s="202">
        <f>0.258+0.283</f>
        <v>0.54099999999999993</v>
      </c>
    </row>
    <row r="345" spans="2:8" x14ac:dyDescent="0.25">
      <c r="B345" s="112" t="s">
        <v>2908</v>
      </c>
      <c r="C345" s="112" t="s">
        <v>210</v>
      </c>
      <c r="D345" s="6">
        <v>133</v>
      </c>
      <c r="E345" s="112">
        <v>4</v>
      </c>
      <c r="F345" s="112" t="s">
        <v>2785</v>
      </c>
      <c r="G345" s="234">
        <v>8.8699999999999992</v>
      </c>
      <c r="H345" s="202">
        <v>0.112</v>
      </c>
    </row>
    <row r="346" spans="2:8" x14ac:dyDescent="0.25">
      <c r="B346" s="112" t="s">
        <v>2908</v>
      </c>
      <c r="C346" s="97">
        <v>20</v>
      </c>
      <c r="D346" s="97">
        <v>133</v>
      </c>
      <c r="E346" s="97">
        <v>4</v>
      </c>
      <c r="F346" s="287" t="s">
        <v>2785</v>
      </c>
      <c r="G346" s="287" t="s">
        <v>3240</v>
      </c>
      <c r="H346" s="129">
        <v>8.0500000000000007</v>
      </c>
    </row>
    <row r="347" spans="2:8" x14ac:dyDescent="0.25">
      <c r="B347" s="112" t="s">
        <v>2908</v>
      </c>
      <c r="C347" s="112"/>
      <c r="D347" s="6">
        <v>133</v>
      </c>
      <c r="E347" s="112">
        <v>5</v>
      </c>
      <c r="F347" s="112" t="s">
        <v>2785</v>
      </c>
      <c r="G347" s="70">
        <v>10</v>
      </c>
      <c r="H347" s="202">
        <v>1.5780000000000001</v>
      </c>
    </row>
    <row r="348" spans="2:8" x14ac:dyDescent="0.25">
      <c r="B348" s="112" t="s">
        <v>2908</v>
      </c>
      <c r="C348" s="112">
        <v>20</v>
      </c>
      <c r="D348" s="6">
        <v>133</v>
      </c>
      <c r="E348" s="112">
        <v>5</v>
      </c>
      <c r="F348" s="112" t="s">
        <v>2785</v>
      </c>
      <c r="G348" s="234"/>
      <c r="H348" s="202">
        <v>0.48699999999999999</v>
      </c>
    </row>
    <row r="349" spans="2:8" x14ac:dyDescent="0.25">
      <c r="B349" s="112" t="s">
        <v>2908</v>
      </c>
      <c r="C349" s="112">
        <v>20</v>
      </c>
      <c r="D349" s="6">
        <v>133</v>
      </c>
      <c r="E349" s="112">
        <v>5</v>
      </c>
      <c r="F349" s="240" t="s">
        <v>2900</v>
      </c>
      <c r="G349" s="234" t="s">
        <v>2886</v>
      </c>
      <c r="H349" s="202">
        <v>0.377</v>
      </c>
    </row>
    <row r="350" spans="2:8" x14ac:dyDescent="0.25">
      <c r="B350" s="112" t="s">
        <v>2908</v>
      </c>
      <c r="C350" s="106">
        <v>20</v>
      </c>
      <c r="D350" s="234">
        <v>133</v>
      </c>
      <c r="E350" s="106">
        <v>6</v>
      </c>
      <c r="F350" s="200" t="s">
        <v>2785</v>
      </c>
      <c r="G350" s="200" t="s">
        <v>1122</v>
      </c>
      <c r="H350" s="199">
        <v>1.48</v>
      </c>
    </row>
    <row r="351" spans="2:8" x14ac:dyDescent="0.25">
      <c r="B351" s="112" t="s">
        <v>2908</v>
      </c>
      <c r="C351" s="55" t="s">
        <v>154</v>
      </c>
      <c r="D351" s="263">
        <v>133</v>
      </c>
      <c r="E351" s="263">
        <v>6</v>
      </c>
      <c r="F351" s="260" t="s">
        <v>3006</v>
      </c>
      <c r="G351" s="234"/>
      <c r="H351" s="202">
        <f>0.59-0.04</f>
        <v>0.54999999999999993</v>
      </c>
    </row>
    <row r="352" spans="2:8" x14ac:dyDescent="0.25">
      <c r="B352" s="112" t="s">
        <v>2908</v>
      </c>
      <c r="C352" s="55" t="s">
        <v>154</v>
      </c>
      <c r="D352" s="263">
        <v>133</v>
      </c>
      <c r="E352" s="263">
        <v>13</v>
      </c>
      <c r="F352" s="260" t="s">
        <v>3003</v>
      </c>
      <c r="G352" s="234"/>
      <c r="H352" s="202">
        <v>0.14499999999999999</v>
      </c>
    </row>
    <row r="353" spans="2:8" x14ac:dyDescent="0.25">
      <c r="B353" s="112" t="s">
        <v>2908</v>
      </c>
      <c r="C353" s="97">
        <v>20</v>
      </c>
      <c r="D353" s="97">
        <v>133</v>
      </c>
      <c r="E353" s="97">
        <v>13</v>
      </c>
      <c r="F353" s="287" t="s">
        <v>2785</v>
      </c>
      <c r="G353" s="287" t="s">
        <v>3241</v>
      </c>
      <c r="H353" s="129">
        <v>3.88</v>
      </c>
    </row>
    <row r="354" spans="2:8" x14ac:dyDescent="0.25">
      <c r="B354" s="97" t="s">
        <v>3169</v>
      </c>
      <c r="C354" s="97" t="s">
        <v>312</v>
      </c>
      <c r="D354" s="97">
        <v>133</v>
      </c>
      <c r="E354" s="97">
        <v>13</v>
      </c>
      <c r="F354" s="287" t="s">
        <v>234</v>
      </c>
      <c r="G354" s="287" t="s">
        <v>3443</v>
      </c>
      <c r="H354" s="129">
        <v>0.36</v>
      </c>
    </row>
    <row r="355" spans="2:8" x14ac:dyDescent="0.25">
      <c r="B355" s="112" t="s">
        <v>2908</v>
      </c>
      <c r="C355" s="112"/>
      <c r="D355" s="6">
        <v>133</v>
      </c>
      <c r="E355" s="112">
        <v>15</v>
      </c>
      <c r="F355" s="112" t="s">
        <v>2785</v>
      </c>
      <c r="G355" s="70">
        <v>5</v>
      </c>
      <c r="H355" s="202">
        <v>0.218</v>
      </c>
    </row>
    <row r="356" spans="2:8" x14ac:dyDescent="0.25">
      <c r="B356" s="97" t="s">
        <v>3169</v>
      </c>
      <c r="C356" s="97" t="s">
        <v>314</v>
      </c>
      <c r="D356" s="97">
        <v>133</v>
      </c>
      <c r="E356" s="97">
        <v>16</v>
      </c>
      <c r="F356" s="287" t="s">
        <v>3444</v>
      </c>
      <c r="G356" s="287" t="s">
        <v>3445</v>
      </c>
      <c r="H356" s="129">
        <v>0.59499999999999997</v>
      </c>
    </row>
    <row r="357" spans="2:8" x14ac:dyDescent="0.25">
      <c r="B357" s="112" t="s">
        <v>2908</v>
      </c>
      <c r="C357" s="55" t="s">
        <v>2981</v>
      </c>
      <c r="D357" s="263">
        <v>133</v>
      </c>
      <c r="E357" s="263">
        <v>18</v>
      </c>
      <c r="F357" s="260" t="s">
        <v>150</v>
      </c>
      <c r="G357" s="234"/>
      <c r="H357" s="202">
        <v>0.28100000000000003</v>
      </c>
    </row>
    <row r="358" spans="2:8" x14ac:dyDescent="0.25">
      <c r="B358" s="234" t="s">
        <v>3169</v>
      </c>
      <c r="C358" s="55" t="s">
        <v>2928</v>
      </c>
      <c r="D358" s="263">
        <v>133</v>
      </c>
      <c r="E358" s="263">
        <v>25</v>
      </c>
      <c r="F358" s="260" t="s">
        <v>3003</v>
      </c>
      <c r="G358" s="234"/>
      <c r="H358" s="202">
        <v>1.121</v>
      </c>
    </row>
    <row r="359" spans="2:8" x14ac:dyDescent="0.2">
      <c r="B359" s="234" t="s">
        <v>3547</v>
      </c>
      <c r="C359" s="234"/>
      <c r="D359" s="234">
        <v>139</v>
      </c>
      <c r="E359" s="234">
        <v>7.72</v>
      </c>
      <c r="F359" s="234"/>
      <c r="G359" s="245" t="s">
        <v>2907</v>
      </c>
      <c r="H359" s="274">
        <v>30</v>
      </c>
    </row>
    <row r="360" spans="2:8" x14ac:dyDescent="0.25">
      <c r="B360" s="112" t="s">
        <v>2908</v>
      </c>
      <c r="C360" s="97">
        <v>20</v>
      </c>
      <c r="D360" s="97">
        <v>140</v>
      </c>
      <c r="E360" s="97">
        <v>5</v>
      </c>
      <c r="F360" s="287" t="s">
        <v>2785</v>
      </c>
      <c r="G360" s="287" t="s">
        <v>3243</v>
      </c>
      <c r="H360" s="129">
        <v>0.875</v>
      </c>
    </row>
    <row r="361" spans="2:8" x14ac:dyDescent="0.25">
      <c r="B361" s="112" t="s">
        <v>2908</v>
      </c>
      <c r="C361" s="97" t="s">
        <v>212</v>
      </c>
      <c r="D361" s="97">
        <v>140</v>
      </c>
      <c r="E361" s="97">
        <v>5</v>
      </c>
      <c r="F361" s="287" t="s">
        <v>2785</v>
      </c>
      <c r="G361" s="287" t="s">
        <v>3244</v>
      </c>
      <c r="H361" s="129">
        <v>4.91</v>
      </c>
    </row>
    <row r="362" spans="2:8" x14ac:dyDescent="0.25">
      <c r="B362" s="112" t="s">
        <v>2908</v>
      </c>
      <c r="C362" s="112">
        <v>20</v>
      </c>
      <c r="D362" s="6">
        <v>140</v>
      </c>
      <c r="E362" s="112">
        <v>6</v>
      </c>
      <c r="F362" s="112" t="s">
        <v>2785</v>
      </c>
      <c r="G362" s="70">
        <v>9.1999999999999993</v>
      </c>
      <c r="H362" s="202">
        <v>0.20899999999999999</v>
      </c>
    </row>
    <row r="363" spans="2:8" x14ac:dyDescent="0.25">
      <c r="B363" s="112" t="s">
        <v>2908</v>
      </c>
      <c r="C363" s="112"/>
      <c r="D363" s="6">
        <v>140</v>
      </c>
      <c r="E363" s="112">
        <v>8</v>
      </c>
      <c r="F363" s="112" t="s">
        <v>2785</v>
      </c>
      <c r="G363" s="70">
        <v>11.7</v>
      </c>
      <c r="H363" s="202">
        <v>4.2649999999999997</v>
      </c>
    </row>
    <row r="364" spans="2:8" x14ac:dyDescent="0.25">
      <c r="B364" s="234" t="s">
        <v>3001</v>
      </c>
      <c r="C364" s="55" t="s">
        <v>313</v>
      </c>
      <c r="D364" s="263">
        <v>140</v>
      </c>
      <c r="E364" s="263">
        <v>8</v>
      </c>
      <c r="F364" s="260" t="s">
        <v>3002</v>
      </c>
      <c r="G364" s="234"/>
      <c r="H364" s="202">
        <v>0.47499999999999998</v>
      </c>
    </row>
    <row r="365" spans="2:8" x14ac:dyDescent="0.25">
      <c r="B365" s="112" t="s">
        <v>2908</v>
      </c>
      <c r="C365" s="55">
        <v>20</v>
      </c>
      <c r="D365" s="263">
        <v>140</v>
      </c>
      <c r="E365" s="263">
        <v>8</v>
      </c>
      <c r="F365" s="260" t="s">
        <v>3003</v>
      </c>
      <c r="G365" s="234"/>
      <c r="H365" s="202">
        <v>0.315</v>
      </c>
    </row>
    <row r="366" spans="2:8" x14ac:dyDescent="0.25">
      <c r="B366" s="234" t="s">
        <v>3548</v>
      </c>
      <c r="C366" s="97" t="s">
        <v>3219</v>
      </c>
      <c r="D366" s="97">
        <v>140</v>
      </c>
      <c r="E366" s="97">
        <v>10.5</v>
      </c>
      <c r="F366" s="287"/>
      <c r="G366" s="287" t="s">
        <v>3242</v>
      </c>
      <c r="H366" s="129">
        <v>100</v>
      </c>
    </row>
    <row r="367" spans="2:8" x14ac:dyDescent="0.2">
      <c r="B367" s="134" t="s">
        <v>3001</v>
      </c>
      <c r="C367" s="134" t="s">
        <v>248</v>
      </c>
      <c r="D367" s="134">
        <v>140</v>
      </c>
      <c r="E367" s="134">
        <v>15</v>
      </c>
      <c r="F367" s="22"/>
      <c r="G367" s="22" t="s">
        <v>3132</v>
      </c>
      <c r="H367" s="181">
        <v>0.9</v>
      </c>
    </row>
    <row r="368" spans="2:8" x14ac:dyDescent="0.25">
      <c r="B368" s="97" t="s">
        <v>3169</v>
      </c>
      <c r="C368" s="97" t="s">
        <v>312</v>
      </c>
      <c r="D368" s="97">
        <v>140</v>
      </c>
      <c r="E368" s="97">
        <v>25</v>
      </c>
      <c r="F368" s="287" t="s">
        <v>234</v>
      </c>
      <c r="G368" s="287" t="s">
        <v>3446</v>
      </c>
      <c r="H368" s="129">
        <v>4.1120000000000001</v>
      </c>
    </row>
    <row r="369" spans="2:8" x14ac:dyDescent="0.25">
      <c r="B369" s="234" t="s">
        <v>3169</v>
      </c>
      <c r="C369" s="55" t="s">
        <v>2980</v>
      </c>
      <c r="D369" s="263">
        <v>140</v>
      </c>
      <c r="E369" s="263">
        <v>36</v>
      </c>
      <c r="F369" s="260" t="s">
        <v>150</v>
      </c>
      <c r="G369" s="234"/>
      <c r="H369" s="202">
        <v>2.355</v>
      </c>
    </row>
    <row r="370" spans="2:8" x14ac:dyDescent="0.25">
      <c r="B370" s="112" t="s">
        <v>2908</v>
      </c>
      <c r="C370" s="97">
        <v>20</v>
      </c>
      <c r="D370" s="97">
        <v>146</v>
      </c>
      <c r="E370" s="97">
        <v>5</v>
      </c>
      <c r="F370" s="287" t="s">
        <v>2785</v>
      </c>
      <c r="G370" s="287" t="s">
        <v>3245</v>
      </c>
      <c r="H370" s="129">
        <v>1.38</v>
      </c>
    </row>
    <row r="371" spans="2:8" x14ac:dyDescent="0.2">
      <c r="B371" s="134" t="s">
        <v>3001</v>
      </c>
      <c r="C371" s="134" t="s">
        <v>248</v>
      </c>
      <c r="D371" s="134">
        <v>146</v>
      </c>
      <c r="E371" s="134">
        <v>16</v>
      </c>
      <c r="F371" s="22"/>
      <c r="G371" s="22" t="s">
        <v>3133</v>
      </c>
      <c r="H371" s="181">
        <v>0.41</v>
      </c>
    </row>
    <row r="372" spans="2:8" x14ac:dyDescent="0.25">
      <c r="B372" s="112" t="s">
        <v>2908</v>
      </c>
      <c r="C372" s="106" t="s">
        <v>713</v>
      </c>
      <c r="D372" s="234">
        <v>152</v>
      </c>
      <c r="E372" s="106">
        <v>8</v>
      </c>
      <c r="F372" s="198" t="s">
        <v>229</v>
      </c>
      <c r="G372" s="198" t="s">
        <v>2840</v>
      </c>
      <c r="H372" s="201">
        <v>0.68500000000000005</v>
      </c>
    </row>
    <row r="373" spans="2:8" x14ac:dyDescent="0.25">
      <c r="B373" s="112" t="s">
        <v>2908</v>
      </c>
      <c r="C373" s="97">
        <v>35</v>
      </c>
      <c r="D373" s="97">
        <v>152</v>
      </c>
      <c r="E373" s="97">
        <v>8</v>
      </c>
      <c r="F373" s="287" t="s">
        <v>2785</v>
      </c>
      <c r="G373" s="287" t="s">
        <v>3246</v>
      </c>
      <c r="H373" s="129">
        <v>31.71</v>
      </c>
    </row>
    <row r="374" spans="2:8" x14ac:dyDescent="0.25">
      <c r="B374" s="112" t="s">
        <v>2908</v>
      </c>
      <c r="C374" s="55">
        <v>20</v>
      </c>
      <c r="D374" s="263">
        <v>152</v>
      </c>
      <c r="E374" s="263">
        <v>16</v>
      </c>
      <c r="F374" s="260" t="s">
        <v>150</v>
      </c>
      <c r="G374" s="234"/>
      <c r="H374" s="202">
        <v>8.5000000000000006E-2</v>
      </c>
    </row>
    <row r="375" spans="2:8" x14ac:dyDescent="0.25">
      <c r="B375" s="112" t="s">
        <v>2908</v>
      </c>
      <c r="C375" s="97" t="s">
        <v>307</v>
      </c>
      <c r="D375" s="97">
        <v>152</v>
      </c>
      <c r="E375" s="97">
        <v>22</v>
      </c>
      <c r="F375" s="287" t="s">
        <v>2785</v>
      </c>
      <c r="G375" s="287" t="s">
        <v>3247</v>
      </c>
      <c r="H375" s="129">
        <v>1.55</v>
      </c>
    </row>
    <row r="376" spans="2:8" x14ac:dyDescent="0.25">
      <c r="B376" s="112" t="s">
        <v>2908</v>
      </c>
      <c r="C376" s="112">
        <v>20</v>
      </c>
      <c r="D376" s="6">
        <v>159</v>
      </c>
      <c r="E376" s="112">
        <v>4</v>
      </c>
      <c r="F376" s="112" t="s">
        <v>2785</v>
      </c>
      <c r="G376" s="234">
        <v>4.37</v>
      </c>
      <c r="H376" s="202">
        <v>6.6000000000000003E-2</v>
      </c>
    </row>
    <row r="377" spans="2:8" x14ac:dyDescent="0.25">
      <c r="B377" s="97" t="s">
        <v>202</v>
      </c>
      <c r="C377" s="97">
        <v>20</v>
      </c>
      <c r="D377" s="97">
        <v>159</v>
      </c>
      <c r="E377" s="97">
        <v>4</v>
      </c>
      <c r="F377" s="97" t="s">
        <v>2910</v>
      </c>
      <c r="G377" s="97"/>
      <c r="H377" s="278">
        <v>1.8</v>
      </c>
    </row>
    <row r="378" spans="2:8" x14ac:dyDescent="0.25">
      <c r="B378" s="187" t="s">
        <v>202</v>
      </c>
      <c r="C378" s="112"/>
      <c r="D378" s="112">
        <v>159</v>
      </c>
      <c r="E378" s="112">
        <v>4.5</v>
      </c>
      <c r="F378" s="6" t="s">
        <v>2794</v>
      </c>
      <c r="G378" s="234"/>
      <c r="H378" s="202">
        <v>0.19500000000000001</v>
      </c>
    </row>
    <row r="379" spans="2:8" x14ac:dyDescent="0.25">
      <c r="B379" s="112" t="s">
        <v>2908</v>
      </c>
      <c r="C379" s="112">
        <v>20</v>
      </c>
      <c r="D379" s="6">
        <v>159</v>
      </c>
      <c r="E379" s="112">
        <v>4.5</v>
      </c>
      <c r="F379" s="242" t="s">
        <v>2898</v>
      </c>
      <c r="G379" s="234" t="s">
        <v>2887</v>
      </c>
      <c r="H379" s="202">
        <v>0.25800000000000001</v>
      </c>
    </row>
    <row r="380" spans="2:8" x14ac:dyDescent="0.25">
      <c r="B380" s="112" t="s">
        <v>2908</v>
      </c>
      <c r="C380" s="187">
        <v>20</v>
      </c>
      <c r="D380" s="187">
        <v>159</v>
      </c>
      <c r="E380" s="187">
        <v>4.5</v>
      </c>
      <c r="F380" s="112" t="s">
        <v>2785</v>
      </c>
      <c r="G380" s="70">
        <v>12</v>
      </c>
      <c r="H380" s="202">
        <v>0.41099999999999998</v>
      </c>
    </row>
    <row r="381" spans="2:8" x14ac:dyDescent="0.25">
      <c r="B381" s="97" t="s">
        <v>202</v>
      </c>
      <c r="C381" s="97">
        <v>20</v>
      </c>
      <c r="D381" s="97">
        <v>159</v>
      </c>
      <c r="E381" s="97">
        <v>4.5</v>
      </c>
      <c r="F381" s="97" t="s">
        <v>2910</v>
      </c>
      <c r="G381" s="97"/>
      <c r="H381" s="278">
        <v>2.42</v>
      </c>
    </row>
    <row r="382" spans="2:8" x14ac:dyDescent="0.25">
      <c r="B382" s="97" t="s">
        <v>202</v>
      </c>
      <c r="C382" s="97">
        <v>3</v>
      </c>
      <c r="D382" s="97">
        <v>159</v>
      </c>
      <c r="E382" s="97">
        <v>4.5</v>
      </c>
      <c r="F382" s="97" t="s">
        <v>2910</v>
      </c>
      <c r="G382" s="97"/>
      <c r="H382" s="278">
        <v>1.1000000000000001</v>
      </c>
    </row>
    <row r="383" spans="2:8" x14ac:dyDescent="0.25">
      <c r="B383" s="112" t="s">
        <v>2908</v>
      </c>
      <c r="C383" s="106">
        <v>20</v>
      </c>
      <c r="D383" s="234">
        <v>159</v>
      </c>
      <c r="E383" s="106">
        <v>5</v>
      </c>
      <c r="F383" s="200" t="s">
        <v>2786</v>
      </c>
      <c r="G383" s="200" t="s">
        <v>44</v>
      </c>
      <c r="H383" s="199">
        <v>5</v>
      </c>
    </row>
    <row r="384" spans="2:8" x14ac:dyDescent="0.25">
      <c r="B384" s="112" t="s">
        <v>2908</v>
      </c>
      <c r="C384" s="112">
        <v>20</v>
      </c>
      <c r="D384" s="6">
        <v>159</v>
      </c>
      <c r="E384" s="112">
        <v>5</v>
      </c>
      <c r="F384" s="112" t="s">
        <v>2785</v>
      </c>
      <c r="G384" s="234"/>
      <c r="H384" s="202">
        <v>6.008</v>
      </c>
    </row>
    <row r="385" spans="2:8" x14ac:dyDescent="0.25">
      <c r="B385" s="97" t="s">
        <v>202</v>
      </c>
      <c r="C385" s="97">
        <v>20</v>
      </c>
      <c r="D385" s="97">
        <v>159</v>
      </c>
      <c r="E385" s="97">
        <v>5</v>
      </c>
      <c r="F385" s="97" t="s">
        <v>2910</v>
      </c>
      <c r="G385" s="97"/>
      <c r="H385" s="278">
        <v>1</v>
      </c>
    </row>
    <row r="386" spans="2:8" x14ac:dyDescent="0.25">
      <c r="B386" s="97" t="s">
        <v>202</v>
      </c>
      <c r="C386" s="97">
        <v>20</v>
      </c>
      <c r="D386" s="97">
        <v>159</v>
      </c>
      <c r="E386" s="97">
        <v>5</v>
      </c>
      <c r="F386" s="97" t="s">
        <v>2911</v>
      </c>
      <c r="G386" s="97"/>
      <c r="H386" s="278">
        <v>1.2</v>
      </c>
    </row>
    <row r="387" spans="2:8" x14ac:dyDescent="0.2">
      <c r="B387" s="134" t="s">
        <v>202</v>
      </c>
      <c r="C387" s="134">
        <v>3</v>
      </c>
      <c r="D387" s="134">
        <v>159</v>
      </c>
      <c r="E387" s="134">
        <v>5</v>
      </c>
      <c r="F387" s="22" t="s">
        <v>2794</v>
      </c>
      <c r="G387" s="22" t="s">
        <v>3055</v>
      </c>
      <c r="H387" s="181">
        <v>1.605</v>
      </c>
    </row>
    <row r="388" spans="2:8" x14ac:dyDescent="0.25">
      <c r="B388" s="112" t="s">
        <v>2908</v>
      </c>
      <c r="C388" s="97" t="s">
        <v>210</v>
      </c>
      <c r="D388" s="97">
        <v>159</v>
      </c>
      <c r="E388" s="97">
        <v>5</v>
      </c>
      <c r="F388" s="287" t="s">
        <v>2785</v>
      </c>
      <c r="G388" s="287" t="s">
        <v>3248</v>
      </c>
      <c r="H388" s="129">
        <v>0.16</v>
      </c>
    </row>
    <row r="389" spans="2:8" x14ac:dyDescent="0.25">
      <c r="B389" s="112" t="s">
        <v>2908</v>
      </c>
      <c r="C389" s="97" t="s">
        <v>210</v>
      </c>
      <c r="D389" s="97">
        <v>159</v>
      </c>
      <c r="E389" s="97">
        <v>5</v>
      </c>
      <c r="F389" s="287" t="s">
        <v>2785</v>
      </c>
      <c r="G389" s="287" t="s">
        <v>3249</v>
      </c>
      <c r="H389" s="129">
        <v>0.33</v>
      </c>
    </row>
    <row r="390" spans="2:8" x14ac:dyDescent="0.25">
      <c r="B390" s="112" t="s">
        <v>2908</v>
      </c>
      <c r="C390" s="97">
        <v>20</v>
      </c>
      <c r="D390" s="97">
        <v>159</v>
      </c>
      <c r="E390" s="97">
        <v>5</v>
      </c>
      <c r="F390" s="287" t="s">
        <v>2785</v>
      </c>
      <c r="G390" s="287" t="s">
        <v>3250</v>
      </c>
      <c r="H390" s="129">
        <v>11.02</v>
      </c>
    </row>
    <row r="391" spans="2:8" x14ac:dyDescent="0.25">
      <c r="B391" s="187" t="s">
        <v>202</v>
      </c>
      <c r="C391" s="112">
        <v>20</v>
      </c>
      <c r="D391" s="112">
        <v>159</v>
      </c>
      <c r="E391" s="112">
        <v>6</v>
      </c>
      <c r="F391" s="240" t="s">
        <v>2895</v>
      </c>
      <c r="G391" s="70">
        <v>11.6</v>
      </c>
      <c r="H391" s="202">
        <v>0.26300000000000001</v>
      </c>
    </row>
    <row r="392" spans="2:8" x14ac:dyDescent="0.25">
      <c r="B392" s="112" t="s">
        <v>2908</v>
      </c>
      <c r="C392" s="112">
        <v>20</v>
      </c>
      <c r="D392" s="6">
        <v>159</v>
      </c>
      <c r="E392" s="112">
        <v>6</v>
      </c>
      <c r="F392" s="112" t="s">
        <v>2785</v>
      </c>
      <c r="G392" s="234"/>
      <c r="H392" s="202">
        <v>21.242000000000001</v>
      </c>
    </row>
    <row r="393" spans="2:8" x14ac:dyDescent="0.25">
      <c r="B393" s="187" t="s">
        <v>2901</v>
      </c>
      <c r="C393" s="234"/>
      <c r="D393" s="234">
        <v>159</v>
      </c>
      <c r="E393" s="234">
        <v>6</v>
      </c>
      <c r="F393" s="244"/>
      <c r="G393" s="234"/>
      <c r="H393" s="274">
        <v>22</v>
      </c>
    </row>
    <row r="394" spans="2:8" x14ac:dyDescent="0.2">
      <c r="B394" s="234" t="s">
        <v>3547</v>
      </c>
      <c r="C394" s="234" t="s">
        <v>215</v>
      </c>
      <c r="D394" s="234">
        <v>159</v>
      </c>
      <c r="E394" s="234">
        <v>6</v>
      </c>
      <c r="F394" s="234"/>
      <c r="G394" s="245" t="s">
        <v>2907</v>
      </c>
      <c r="H394" s="274">
        <v>8</v>
      </c>
    </row>
    <row r="395" spans="2:8" x14ac:dyDescent="0.25">
      <c r="B395" s="97" t="s">
        <v>202</v>
      </c>
      <c r="C395" s="97">
        <v>20</v>
      </c>
      <c r="D395" s="97">
        <v>159</v>
      </c>
      <c r="E395" s="97">
        <v>6</v>
      </c>
      <c r="F395" s="97" t="s">
        <v>2910</v>
      </c>
      <c r="G395" s="97"/>
      <c r="H395" s="278">
        <v>16.28</v>
      </c>
    </row>
    <row r="396" spans="2:8" x14ac:dyDescent="0.25">
      <c r="B396" s="112" t="s">
        <v>2908</v>
      </c>
      <c r="C396" s="97">
        <v>20</v>
      </c>
      <c r="D396" s="97">
        <v>159</v>
      </c>
      <c r="E396" s="97">
        <v>6</v>
      </c>
      <c r="F396" s="97" t="s">
        <v>2924</v>
      </c>
      <c r="G396" s="97"/>
      <c r="H396" s="278">
        <v>3.3</v>
      </c>
    </row>
    <row r="397" spans="2:8" x14ac:dyDescent="0.2">
      <c r="B397" s="134" t="s">
        <v>202</v>
      </c>
      <c r="C397" s="134" t="s">
        <v>210</v>
      </c>
      <c r="D397" s="134">
        <v>159</v>
      </c>
      <c r="E397" s="134">
        <v>6</v>
      </c>
      <c r="F397" s="22" t="s">
        <v>2794</v>
      </c>
      <c r="G397" s="22" t="s">
        <v>3056</v>
      </c>
      <c r="H397" s="181">
        <v>8.0299999999999994</v>
      </c>
    </row>
    <row r="398" spans="2:8" x14ac:dyDescent="0.2">
      <c r="B398" s="134" t="s">
        <v>202</v>
      </c>
      <c r="C398" s="134">
        <v>3</v>
      </c>
      <c r="D398" s="134">
        <v>159</v>
      </c>
      <c r="E398" s="134">
        <v>6</v>
      </c>
      <c r="F398" s="22" t="s">
        <v>2794</v>
      </c>
      <c r="G398" s="22" t="s">
        <v>3057</v>
      </c>
      <c r="H398" s="181">
        <v>7.4249999999999998</v>
      </c>
    </row>
    <row r="399" spans="2:8" x14ac:dyDescent="0.25">
      <c r="B399" s="112" t="s">
        <v>2908</v>
      </c>
      <c r="C399" s="97" t="s">
        <v>210</v>
      </c>
      <c r="D399" s="97">
        <v>159</v>
      </c>
      <c r="E399" s="97">
        <v>6</v>
      </c>
      <c r="F399" s="287" t="s">
        <v>2785</v>
      </c>
      <c r="G399" s="287" t="s">
        <v>3251</v>
      </c>
      <c r="H399" s="129">
        <v>0.23</v>
      </c>
    </row>
    <row r="400" spans="2:8" x14ac:dyDescent="0.25">
      <c r="B400" s="112" t="s">
        <v>2908</v>
      </c>
      <c r="C400" s="112" t="s">
        <v>210</v>
      </c>
      <c r="D400" s="3">
        <v>159</v>
      </c>
      <c r="E400" s="237">
        <v>7</v>
      </c>
      <c r="F400" s="234" t="s">
        <v>150</v>
      </c>
      <c r="G400" s="77" t="s">
        <v>11</v>
      </c>
      <c r="H400" s="272">
        <v>1.45</v>
      </c>
    </row>
    <row r="401" spans="2:8" x14ac:dyDescent="0.25">
      <c r="B401" s="187" t="s">
        <v>202</v>
      </c>
      <c r="C401" s="112">
        <v>20</v>
      </c>
      <c r="D401" s="112">
        <v>159</v>
      </c>
      <c r="E401" s="112">
        <v>7</v>
      </c>
      <c r="F401" s="187" t="s">
        <v>2794</v>
      </c>
      <c r="G401" s="234"/>
      <c r="H401" s="202">
        <v>2.1509999999999998</v>
      </c>
    </row>
    <row r="402" spans="2:8" x14ac:dyDescent="0.25">
      <c r="B402" s="112" t="s">
        <v>2908</v>
      </c>
      <c r="C402" s="112">
        <v>20</v>
      </c>
      <c r="D402" s="6">
        <v>159</v>
      </c>
      <c r="E402" s="112">
        <v>7</v>
      </c>
      <c r="F402" s="112" t="s">
        <v>2785</v>
      </c>
      <c r="G402" s="234">
        <v>6.33</v>
      </c>
      <c r="H402" s="202">
        <v>0.16600000000000001</v>
      </c>
    </row>
    <row r="403" spans="2:8" x14ac:dyDescent="0.25">
      <c r="B403" s="112" t="s">
        <v>2908</v>
      </c>
      <c r="C403" s="257" t="s">
        <v>210</v>
      </c>
      <c r="D403" s="257">
        <v>159</v>
      </c>
      <c r="E403" s="234">
        <v>7</v>
      </c>
      <c r="F403" s="234"/>
      <c r="G403" s="234"/>
      <c r="H403" s="279">
        <v>1.448</v>
      </c>
    </row>
    <row r="404" spans="2:8" x14ac:dyDescent="0.25">
      <c r="B404" s="112" t="s">
        <v>2908</v>
      </c>
      <c r="C404" s="97">
        <v>20</v>
      </c>
      <c r="D404" s="97">
        <v>159</v>
      </c>
      <c r="E404" s="97">
        <v>7</v>
      </c>
      <c r="F404" s="287" t="s">
        <v>2785</v>
      </c>
      <c r="G404" s="287" t="s">
        <v>3252</v>
      </c>
      <c r="H404" s="129">
        <v>2.7850000000000001</v>
      </c>
    </row>
    <row r="405" spans="2:8" x14ac:dyDescent="0.25">
      <c r="B405" s="112" t="s">
        <v>2908</v>
      </c>
      <c r="C405" s="112">
        <v>20</v>
      </c>
      <c r="D405" s="112">
        <v>159</v>
      </c>
      <c r="E405" s="112">
        <v>8</v>
      </c>
      <c r="F405" s="112" t="s">
        <v>2785</v>
      </c>
      <c r="G405" s="234"/>
      <c r="H405" s="202">
        <v>0.69099999999999995</v>
      </c>
    </row>
    <row r="406" spans="2:8" x14ac:dyDescent="0.25">
      <c r="B406" s="187" t="s">
        <v>2901</v>
      </c>
      <c r="C406" s="234"/>
      <c r="D406" s="234">
        <v>159</v>
      </c>
      <c r="E406" s="234">
        <v>8</v>
      </c>
      <c r="F406" s="244"/>
      <c r="G406" s="234"/>
      <c r="H406" s="274">
        <v>58</v>
      </c>
    </row>
    <row r="407" spans="2:8" x14ac:dyDescent="0.25">
      <c r="B407" s="97" t="s">
        <v>202</v>
      </c>
      <c r="C407" s="97">
        <v>20</v>
      </c>
      <c r="D407" s="97">
        <v>159</v>
      </c>
      <c r="E407" s="97">
        <v>8</v>
      </c>
      <c r="F407" s="97" t="s">
        <v>2910</v>
      </c>
      <c r="G407" s="97"/>
      <c r="H407" s="278">
        <v>6</v>
      </c>
    </row>
    <row r="408" spans="2:8" x14ac:dyDescent="0.25">
      <c r="B408" s="112" t="s">
        <v>2908</v>
      </c>
      <c r="C408" s="97" t="s">
        <v>210</v>
      </c>
      <c r="D408" s="97">
        <v>159</v>
      </c>
      <c r="E408" s="97">
        <v>8</v>
      </c>
      <c r="F408" s="97" t="s">
        <v>2925</v>
      </c>
      <c r="G408" s="97"/>
      <c r="H408" s="278">
        <v>2</v>
      </c>
    </row>
    <row r="409" spans="2:8" x14ac:dyDescent="0.2">
      <c r="B409" s="134" t="s">
        <v>202</v>
      </c>
      <c r="C409" s="134" t="s">
        <v>210</v>
      </c>
      <c r="D409" s="134">
        <v>159</v>
      </c>
      <c r="E409" s="134">
        <v>8</v>
      </c>
      <c r="F409" s="22" t="s">
        <v>2794</v>
      </c>
      <c r="G409" s="22" t="s">
        <v>3058</v>
      </c>
      <c r="H409" s="181">
        <v>2.72</v>
      </c>
    </row>
    <row r="410" spans="2:8" x14ac:dyDescent="0.25">
      <c r="B410" s="112" t="s">
        <v>2908</v>
      </c>
      <c r="C410" s="97" t="s">
        <v>210</v>
      </c>
      <c r="D410" s="97">
        <v>159</v>
      </c>
      <c r="E410" s="97">
        <v>8</v>
      </c>
      <c r="F410" s="287" t="s">
        <v>2785</v>
      </c>
      <c r="G410" s="287" t="s">
        <v>3253</v>
      </c>
      <c r="H410" s="129">
        <v>6.02</v>
      </c>
    </row>
    <row r="411" spans="2:8" x14ac:dyDescent="0.25">
      <c r="B411" s="112" t="s">
        <v>2908</v>
      </c>
      <c r="C411" s="97" t="s">
        <v>210</v>
      </c>
      <c r="D411" s="97">
        <v>159</v>
      </c>
      <c r="E411" s="97">
        <v>8</v>
      </c>
      <c r="F411" s="287" t="s">
        <v>2785</v>
      </c>
      <c r="G411" s="287" t="s">
        <v>3254</v>
      </c>
      <c r="H411" s="129">
        <v>2.12</v>
      </c>
    </row>
    <row r="412" spans="2:8" x14ac:dyDescent="0.25">
      <c r="B412" s="214" t="s">
        <v>2908</v>
      </c>
      <c r="C412" s="292">
        <v>20</v>
      </c>
      <c r="D412" s="292">
        <v>159</v>
      </c>
      <c r="E412" s="292">
        <v>8</v>
      </c>
      <c r="F412" s="293" t="s">
        <v>2785</v>
      </c>
      <c r="G412" s="293" t="s">
        <v>3255</v>
      </c>
      <c r="H412" s="294">
        <v>4.83</v>
      </c>
    </row>
    <row r="413" spans="2:8" x14ac:dyDescent="0.25">
      <c r="B413" s="112" t="s">
        <v>2908</v>
      </c>
      <c r="C413" s="97" t="s">
        <v>3226</v>
      </c>
      <c r="D413" s="97">
        <v>159</v>
      </c>
      <c r="E413" s="97">
        <v>8</v>
      </c>
      <c r="F413" s="287" t="s">
        <v>2785</v>
      </c>
      <c r="G413" s="287" t="s">
        <v>3256</v>
      </c>
      <c r="H413" s="129">
        <v>1.1000000000000001</v>
      </c>
    </row>
    <row r="414" spans="2:8" x14ac:dyDescent="0.25">
      <c r="B414" s="112" t="s">
        <v>2908</v>
      </c>
      <c r="C414" s="55">
        <v>20</v>
      </c>
      <c r="D414" s="263">
        <v>159</v>
      </c>
      <c r="E414" s="263">
        <v>9</v>
      </c>
      <c r="F414" s="260" t="s">
        <v>3003</v>
      </c>
      <c r="G414" s="234"/>
      <c r="H414" s="202">
        <v>0.13500000000000001</v>
      </c>
    </row>
    <row r="415" spans="2:8" x14ac:dyDescent="0.25">
      <c r="B415" s="112" t="s">
        <v>2908</v>
      </c>
      <c r="C415" s="112" t="s">
        <v>210</v>
      </c>
      <c r="D415" s="3">
        <v>159</v>
      </c>
      <c r="E415" s="237">
        <v>10</v>
      </c>
      <c r="F415" s="234" t="s">
        <v>150</v>
      </c>
      <c r="G415" s="77" t="s">
        <v>12</v>
      </c>
      <c r="H415" s="272">
        <v>0.38</v>
      </c>
    </row>
    <row r="416" spans="2:8" x14ac:dyDescent="0.25">
      <c r="B416" s="112" t="s">
        <v>2908</v>
      </c>
      <c r="C416" s="112">
        <v>20</v>
      </c>
      <c r="D416" s="112">
        <v>159</v>
      </c>
      <c r="E416" s="112">
        <v>10</v>
      </c>
      <c r="F416" s="112" t="s">
        <v>2785</v>
      </c>
      <c r="G416" s="234">
        <v>10.39</v>
      </c>
      <c r="H416" s="202">
        <v>0.38200000000000001</v>
      </c>
    </row>
    <row r="417" spans="2:8" x14ac:dyDescent="0.25">
      <c r="B417" s="112" t="s">
        <v>2908</v>
      </c>
      <c r="C417" s="112" t="s">
        <v>210</v>
      </c>
      <c r="D417" s="3">
        <v>159</v>
      </c>
      <c r="E417" s="237">
        <v>11</v>
      </c>
      <c r="F417" s="234" t="s">
        <v>150</v>
      </c>
      <c r="G417" s="77" t="s">
        <v>13</v>
      </c>
      <c r="H417" s="272">
        <v>0.82</v>
      </c>
    </row>
    <row r="418" spans="2:8" x14ac:dyDescent="0.25">
      <c r="B418" s="112" t="s">
        <v>2908</v>
      </c>
      <c r="C418" s="112"/>
      <c r="D418" s="112">
        <v>159</v>
      </c>
      <c r="E418" s="112">
        <v>11</v>
      </c>
      <c r="F418" s="112" t="s">
        <v>2785</v>
      </c>
      <c r="G418" s="70">
        <v>9.1</v>
      </c>
      <c r="H418" s="202">
        <v>0.36599999999999999</v>
      </c>
    </row>
    <row r="419" spans="2:8" x14ac:dyDescent="0.25">
      <c r="B419" s="112" t="s">
        <v>2908</v>
      </c>
      <c r="C419" s="112">
        <v>20</v>
      </c>
      <c r="D419" s="112">
        <v>159</v>
      </c>
      <c r="E419" s="112">
        <v>12</v>
      </c>
      <c r="F419" s="112" t="s">
        <v>2785</v>
      </c>
      <c r="G419" s="234">
        <v>8.15</v>
      </c>
      <c r="H419" s="202">
        <v>0.35499999999999998</v>
      </c>
    </row>
    <row r="420" spans="2:8" x14ac:dyDescent="0.25">
      <c r="B420" s="112" t="s">
        <v>2908</v>
      </c>
      <c r="C420" s="97">
        <v>10</v>
      </c>
      <c r="D420" s="97">
        <v>159</v>
      </c>
      <c r="E420" s="97">
        <v>13</v>
      </c>
      <c r="F420" s="287" t="s">
        <v>2785</v>
      </c>
      <c r="G420" s="287" t="s">
        <v>3257</v>
      </c>
      <c r="H420" s="129">
        <v>25.86</v>
      </c>
    </row>
    <row r="421" spans="2:8" x14ac:dyDescent="0.25">
      <c r="B421" s="112" t="s">
        <v>2908</v>
      </c>
      <c r="C421" s="97">
        <v>10</v>
      </c>
      <c r="D421" s="97">
        <v>159</v>
      </c>
      <c r="E421" s="97">
        <v>14</v>
      </c>
      <c r="F421" s="287" t="s">
        <v>2785</v>
      </c>
      <c r="G421" s="287" t="s">
        <v>3258</v>
      </c>
      <c r="H421" s="129">
        <v>17.055</v>
      </c>
    </row>
    <row r="422" spans="2:8" x14ac:dyDescent="0.25">
      <c r="B422" s="112" t="s">
        <v>2908</v>
      </c>
      <c r="C422" s="97" t="s">
        <v>215</v>
      </c>
      <c r="D422" s="97">
        <v>159</v>
      </c>
      <c r="E422" s="97">
        <v>14</v>
      </c>
      <c r="F422" s="287" t="s">
        <v>3223</v>
      </c>
      <c r="G422" s="287" t="s">
        <v>3259</v>
      </c>
      <c r="H422" s="129">
        <v>1.04</v>
      </c>
    </row>
    <row r="423" spans="2:8" x14ac:dyDescent="0.25">
      <c r="B423" s="112" t="s">
        <v>2908</v>
      </c>
      <c r="C423" s="97">
        <v>10</v>
      </c>
      <c r="D423" s="97">
        <v>159</v>
      </c>
      <c r="E423" s="97">
        <v>15</v>
      </c>
      <c r="F423" s="287" t="s">
        <v>2785</v>
      </c>
      <c r="G423" s="287" t="s">
        <v>3260</v>
      </c>
      <c r="H423" s="129">
        <v>0.27500000000000002</v>
      </c>
    </row>
    <row r="424" spans="2:8" x14ac:dyDescent="0.25">
      <c r="B424" s="112" t="s">
        <v>2908</v>
      </c>
      <c r="C424" s="97">
        <v>20</v>
      </c>
      <c r="D424" s="97">
        <v>159</v>
      </c>
      <c r="E424" s="97">
        <v>15</v>
      </c>
      <c r="F424" s="287" t="s">
        <v>2785</v>
      </c>
      <c r="G424" s="287" t="s">
        <v>3168</v>
      </c>
      <c r="H424" s="129">
        <v>1.88</v>
      </c>
    </row>
    <row r="425" spans="2:8" x14ac:dyDescent="0.25">
      <c r="B425" s="112" t="s">
        <v>2908</v>
      </c>
      <c r="C425" s="97" t="s">
        <v>308</v>
      </c>
      <c r="D425" s="97">
        <v>159</v>
      </c>
      <c r="E425" s="97">
        <v>15</v>
      </c>
      <c r="F425" s="287" t="s">
        <v>2785</v>
      </c>
      <c r="G425" s="287" t="s">
        <v>3261</v>
      </c>
      <c r="H425" s="129">
        <v>0.435</v>
      </c>
    </row>
    <row r="426" spans="2:8" x14ac:dyDescent="0.25">
      <c r="B426" s="112" t="s">
        <v>2908</v>
      </c>
      <c r="C426" s="106">
        <v>20</v>
      </c>
      <c r="D426" s="234">
        <v>159</v>
      </c>
      <c r="E426" s="106">
        <v>16</v>
      </c>
      <c r="F426" s="200" t="s">
        <v>2785</v>
      </c>
      <c r="G426" s="239">
        <v>8.3000000000000007</v>
      </c>
      <c r="H426" s="199">
        <v>0.46500000000000002</v>
      </c>
    </row>
    <row r="427" spans="2:8" x14ac:dyDescent="0.25">
      <c r="B427" s="112" t="s">
        <v>2908</v>
      </c>
      <c r="C427" s="55">
        <v>20</v>
      </c>
      <c r="D427" s="263">
        <v>159</v>
      </c>
      <c r="E427" s="263">
        <v>16</v>
      </c>
      <c r="F427" s="260" t="s">
        <v>2819</v>
      </c>
      <c r="G427" s="234"/>
      <c r="H427" s="202">
        <f>1.105-0.13</f>
        <v>0.97499999999999998</v>
      </c>
    </row>
    <row r="428" spans="2:8" x14ac:dyDescent="0.25">
      <c r="B428" s="112" t="s">
        <v>2908</v>
      </c>
      <c r="C428" s="97" t="s">
        <v>309</v>
      </c>
      <c r="D428" s="97">
        <v>159</v>
      </c>
      <c r="E428" s="97">
        <v>18</v>
      </c>
      <c r="F428" s="287" t="s">
        <v>2785</v>
      </c>
      <c r="G428" s="287" t="s">
        <v>3262</v>
      </c>
      <c r="H428" s="129">
        <v>1.1100000000000001</v>
      </c>
    </row>
    <row r="429" spans="2:8" x14ac:dyDescent="0.25">
      <c r="B429" s="112" t="s">
        <v>2908</v>
      </c>
      <c r="C429" s="106">
        <v>20</v>
      </c>
      <c r="D429" s="234">
        <v>159</v>
      </c>
      <c r="E429" s="106">
        <v>20</v>
      </c>
      <c r="F429" s="200" t="s">
        <v>2785</v>
      </c>
      <c r="G429" s="200" t="s">
        <v>2841</v>
      </c>
      <c r="H429" s="199">
        <v>5.5</v>
      </c>
    </row>
    <row r="430" spans="2:8" x14ac:dyDescent="0.25">
      <c r="B430" s="112" t="s">
        <v>2908</v>
      </c>
      <c r="C430" s="257" t="s">
        <v>210</v>
      </c>
      <c r="D430" s="257">
        <v>159</v>
      </c>
      <c r="E430" s="234">
        <v>20</v>
      </c>
      <c r="F430" s="234" t="s">
        <v>2955</v>
      </c>
      <c r="G430" s="234"/>
      <c r="H430" s="279">
        <v>1.33</v>
      </c>
    </row>
    <row r="431" spans="2:8" x14ac:dyDescent="0.25">
      <c r="B431" s="112" t="s">
        <v>2908</v>
      </c>
      <c r="C431" s="97" t="s">
        <v>3263</v>
      </c>
      <c r="D431" s="97">
        <v>159</v>
      </c>
      <c r="E431" s="97">
        <v>20</v>
      </c>
      <c r="F431" s="287" t="s">
        <v>2785</v>
      </c>
      <c r="G431" s="287" t="s">
        <v>3264</v>
      </c>
      <c r="H431" s="129">
        <v>0.38</v>
      </c>
    </row>
    <row r="432" spans="2:8" x14ac:dyDescent="0.25">
      <c r="B432" s="112" t="s">
        <v>2908</v>
      </c>
      <c r="C432" s="55" t="s">
        <v>2981</v>
      </c>
      <c r="D432" s="263">
        <v>159</v>
      </c>
      <c r="E432" s="263">
        <v>25</v>
      </c>
      <c r="F432" s="260" t="s">
        <v>150</v>
      </c>
      <c r="G432" s="234"/>
      <c r="H432" s="202">
        <f>2.66-0.76</f>
        <v>1.9000000000000001</v>
      </c>
    </row>
    <row r="433" spans="2:8" x14ac:dyDescent="0.25">
      <c r="B433" s="97" t="s">
        <v>3169</v>
      </c>
      <c r="C433" s="97" t="s">
        <v>314</v>
      </c>
      <c r="D433" s="97">
        <v>159</v>
      </c>
      <c r="E433" s="97">
        <v>26</v>
      </c>
      <c r="F433" s="287" t="s">
        <v>234</v>
      </c>
      <c r="G433" s="287" t="s">
        <v>3447</v>
      </c>
      <c r="H433" s="129">
        <v>1.06</v>
      </c>
    </row>
    <row r="434" spans="2:8" x14ac:dyDescent="0.25">
      <c r="B434" s="112" t="s">
        <v>2908</v>
      </c>
      <c r="C434" s="97" t="s">
        <v>3265</v>
      </c>
      <c r="D434" s="97">
        <v>159</v>
      </c>
      <c r="E434" s="97">
        <v>42</v>
      </c>
      <c r="F434" s="287" t="s">
        <v>2785</v>
      </c>
      <c r="G434" s="287" t="s">
        <v>3266</v>
      </c>
      <c r="H434" s="129">
        <v>9.98</v>
      </c>
    </row>
    <row r="435" spans="2:8" x14ac:dyDescent="0.25">
      <c r="B435" s="234" t="s">
        <v>202</v>
      </c>
      <c r="C435" s="112">
        <v>20</v>
      </c>
      <c r="D435" s="63">
        <v>159</v>
      </c>
      <c r="E435" s="63" t="s">
        <v>238</v>
      </c>
      <c r="F435" s="77" t="s">
        <v>225</v>
      </c>
      <c r="G435" s="4">
        <v>12</v>
      </c>
      <c r="H435" s="274">
        <v>0.3</v>
      </c>
    </row>
    <row r="436" spans="2:8" x14ac:dyDescent="0.25">
      <c r="B436" s="112" t="s">
        <v>2908</v>
      </c>
      <c r="C436" s="106">
        <v>20</v>
      </c>
      <c r="D436" s="234">
        <v>165</v>
      </c>
      <c r="E436" s="106">
        <v>17</v>
      </c>
      <c r="F436" s="200" t="s">
        <v>2785</v>
      </c>
      <c r="G436" s="200" t="s">
        <v>2842</v>
      </c>
      <c r="H436" s="199">
        <v>2.15</v>
      </c>
    </row>
    <row r="437" spans="2:8" x14ac:dyDescent="0.2">
      <c r="B437" s="134" t="s">
        <v>3001</v>
      </c>
      <c r="C437" s="134" t="s">
        <v>3134</v>
      </c>
      <c r="D437" s="134">
        <v>168</v>
      </c>
      <c r="E437" s="134">
        <v>3.5</v>
      </c>
      <c r="F437" s="22"/>
      <c r="G437" s="22" t="s">
        <v>3135</v>
      </c>
      <c r="H437" s="181">
        <v>0.23</v>
      </c>
    </row>
    <row r="438" spans="2:8" x14ac:dyDescent="0.2">
      <c r="B438" s="134" t="s">
        <v>202</v>
      </c>
      <c r="C438" s="134">
        <v>3</v>
      </c>
      <c r="D438" s="134">
        <v>168</v>
      </c>
      <c r="E438" s="134">
        <v>4.5</v>
      </c>
      <c r="F438" s="22" t="s">
        <v>2794</v>
      </c>
      <c r="G438" s="22" t="s">
        <v>3059</v>
      </c>
      <c r="H438" s="181">
        <v>0.20499999999999999</v>
      </c>
    </row>
    <row r="439" spans="2:8" x14ac:dyDescent="0.25">
      <c r="B439" s="112" t="s">
        <v>2908</v>
      </c>
      <c r="C439" s="187"/>
      <c r="D439" s="187">
        <v>168</v>
      </c>
      <c r="E439" s="187">
        <v>6</v>
      </c>
      <c r="F439" s="112" t="s">
        <v>2785</v>
      </c>
      <c r="G439" s="234">
        <v>11.25</v>
      </c>
      <c r="H439" s="202">
        <v>0.26900000000000002</v>
      </c>
    </row>
    <row r="440" spans="2:8" x14ac:dyDescent="0.25">
      <c r="B440" s="112" t="s">
        <v>2908</v>
      </c>
      <c r="C440" s="97">
        <v>20</v>
      </c>
      <c r="D440" s="97">
        <v>168</v>
      </c>
      <c r="E440" s="97">
        <v>6</v>
      </c>
      <c r="F440" s="287" t="s">
        <v>2785</v>
      </c>
      <c r="G440" s="287" t="s">
        <v>3267</v>
      </c>
      <c r="H440" s="129">
        <v>0.8</v>
      </c>
    </row>
    <row r="441" spans="2:8" x14ac:dyDescent="0.25">
      <c r="B441" s="112" t="s">
        <v>2908</v>
      </c>
      <c r="C441" s="112" t="s">
        <v>210</v>
      </c>
      <c r="D441" s="237">
        <v>168</v>
      </c>
      <c r="E441" s="237">
        <v>8</v>
      </c>
      <c r="F441" s="234" t="s">
        <v>150</v>
      </c>
      <c r="G441" s="77" t="s">
        <v>14</v>
      </c>
      <c r="H441" s="272">
        <v>1.83</v>
      </c>
    </row>
    <row r="442" spans="2:8" x14ac:dyDescent="0.25">
      <c r="B442" s="187" t="s">
        <v>202</v>
      </c>
      <c r="C442" s="112">
        <v>20</v>
      </c>
      <c r="D442" s="112">
        <v>168</v>
      </c>
      <c r="E442" s="112">
        <v>8</v>
      </c>
      <c r="F442" s="187" t="s">
        <v>2794</v>
      </c>
      <c r="G442" s="234" t="s">
        <v>2868</v>
      </c>
      <c r="H442" s="202">
        <v>2.8180000000000001</v>
      </c>
    </row>
    <row r="443" spans="2:8" x14ac:dyDescent="0.25">
      <c r="B443" s="112" t="s">
        <v>2908</v>
      </c>
      <c r="C443" s="187"/>
      <c r="D443" s="112">
        <v>168</v>
      </c>
      <c r="E443" s="187">
        <v>8</v>
      </c>
      <c r="F443" s="112" t="s">
        <v>2785</v>
      </c>
      <c r="G443" s="234"/>
      <c r="H443" s="202">
        <v>2.6509999999999998</v>
      </c>
    </row>
    <row r="444" spans="2:8" x14ac:dyDescent="0.25">
      <c r="B444" s="112" t="s">
        <v>2908</v>
      </c>
      <c r="C444" s="112"/>
      <c r="D444" s="112">
        <v>168</v>
      </c>
      <c r="E444" s="112">
        <v>8</v>
      </c>
      <c r="F444" s="112" t="s">
        <v>2785</v>
      </c>
      <c r="G444" s="234">
        <v>5.17</v>
      </c>
      <c r="H444" s="202">
        <v>0.16300000000000001</v>
      </c>
    </row>
    <row r="445" spans="2:8" x14ac:dyDescent="0.25">
      <c r="B445" s="112" t="s">
        <v>2908</v>
      </c>
      <c r="C445" s="112"/>
      <c r="D445" s="112">
        <v>168</v>
      </c>
      <c r="E445" s="112">
        <v>8</v>
      </c>
      <c r="F445" s="112" t="s">
        <v>2785</v>
      </c>
      <c r="G445" s="70">
        <v>12</v>
      </c>
      <c r="H445" s="202">
        <v>1.1359999999999999</v>
      </c>
    </row>
    <row r="446" spans="2:8" x14ac:dyDescent="0.25">
      <c r="B446" s="112" t="s">
        <v>2908</v>
      </c>
      <c r="C446" s="97" t="s">
        <v>210</v>
      </c>
      <c r="D446" s="97">
        <v>168</v>
      </c>
      <c r="E446" s="97">
        <v>8</v>
      </c>
      <c r="F446" s="97" t="s">
        <v>2785</v>
      </c>
      <c r="G446" s="97"/>
      <c r="H446" s="278">
        <v>10.5</v>
      </c>
    </row>
    <row r="447" spans="2:8" x14ac:dyDescent="0.25">
      <c r="B447" s="112" t="s">
        <v>2908</v>
      </c>
      <c r="C447" s="257" t="s">
        <v>210</v>
      </c>
      <c r="D447" s="257">
        <v>168</v>
      </c>
      <c r="E447" s="234">
        <v>8</v>
      </c>
      <c r="F447" s="234"/>
      <c r="G447" s="234"/>
      <c r="H447" s="279">
        <v>1.8220000000000001</v>
      </c>
    </row>
    <row r="448" spans="2:8" x14ac:dyDescent="0.25">
      <c r="B448" s="112" t="s">
        <v>2908</v>
      </c>
      <c r="C448" s="257" t="s">
        <v>214</v>
      </c>
      <c r="D448" s="257">
        <v>168</v>
      </c>
      <c r="E448" s="234">
        <v>8</v>
      </c>
      <c r="F448" s="234"/>
      <c r="G448" s="234"/>
      <c r="H448" s="279">
        <v>0.93700000000000006</v>
      </c>
    </row>
    <row r="449" spans="2:8" x14ac:dyDescent="0.25">
      <c r="B449" s="112" t="s">
        <v>2908</v>
      </c>
      <c r="C449" s="112" t="s">
        <v>210</v>
      </c>
      <c r="D449" s="3">
        <v>168</v>
      </c>
      <c r="E449" s="87">
        <v>9</v>
      </c>
      <c r="F449" s="234" t="s">
        <v>150</v>
      </c>
      <c r="G449" s="235" t="s">
        <v>15</v>
      </c>
      <c r="H449" s="273">
        <v>2.84</v>
      </c>
    </row>
    <row r="450" spans="2:8" x14ac:dyDescent="0.25">
      <c r="B450" s="112" t="s">
        <v>2908</v>
      </c>
      <c r="C450" s="234">
        <v>20</v>
      </c>
      <c r="D450" s="234">
        <v>168</v>
      </c>
      <c r="E450" s="234">
        <v>9</v>
      </c>
      <c r="F450" s="112" t="s">
        <v>2785</v>
      </c>
      <c r="G450" s="234"/>
      <c r="H450" s="274">
        <v>57</v>
      </c>
    </row>
    <row r="451" spans="2:8" x14ac:dyDescent="0.25">
      <c r="B451" s="112" t="s">
        <v>2908</v>
      </c>
      <c r="C451" s="257" t="s">
        <v>210</v>
      </c>
      <c r="D451" s="257">
        <v>168</v>
      </c>
      <c r="E451" s="234">
        <v>9</v>
      </c>
      <c r="F451" s="234"/>
      <c r="G451" s="234"/>
      <c r="H451" s="279">
        <v>2.8340000000000001</v>
      </c>
    </row>
    <row r="452" spans="2:8" x14ac:dyDescent="0.25">
      <c r="B452" s="112" t="s">
        <v>2908</v>
      </c>
      <c r="C452" s="257" t="s">
        <v>215</v>
      </c>
      <c r="D452" s="258">
        <v>168</v>
      </c>
      <c r="E452" s="234">
        <v>9</v>
      </c>
      <c r="F452" s="234"/>
      <c r="G452" s="234" t="s">
        <v>2970</v>
      </c>
      <c r="H452" s="279">
        <v>1.7230000000000001</v>
      </c>
    </row>
    <row r="453" spans="2:8" x14ac:dyDescent="0.25">
      <c r="B453" s="112" t="s">
        <v>2908</v>
      </c>
      <c r="C453" s="97">
        <v>20</v>
      </c>
      <c r="D453" s="97">
        <v>168</v>
      </c>
      <c r="E453" s="97">
        <v>9</v>
      </c>
      <c r="F453" s="287" t="s">
        <v>2785</v>
      </c>
      <c r="G453" s="287" t="s">
        <v>3268</v>
      </c>
      <c r="H453" s="129">
        <v>6.5000000000000002E-2</v>
      </c>
    </row>
    <row r="454" spans="2:8" x14ac:dyDescent="0.25">
      <c r="B454" s="112" t="s">
        <v>2908</v>
      </c>
      <c r="C454" s="112" t="s">
        <v>210</v>
      </c>
      <c r="D454" s="3">
        <v>168</v>
      </c>
      <c r="E454" s="87">
        <v>10</v>
      </c>
      <c r="F454" s="234" t="s">
        <v>150</v>
      </c>
      <c r="G454" s="235">
        <v>8.1999999999999993</v>
      </c>
      <c r="H454" s="273">
        <v>0.32</v>
      </c>
    </row>
    <row r="455" spans="2:8" x14ac:dyDescent="0.25">
      <c r="B455" s="112" t="s">
        <v>2908</v>
      </c>
      <c r="C455" s="106">
        <v>20</v>
      </c>
      <c r="D455" s="234">
        <v>168</v>
      </c>
      <c r="E455" s="106">
        <v>10</v>
      </c>
      <c r="F455" s="198" t="s">
        <v>234</v>
      </c>
      <c r="G455" s="198" t="s">
        <v>2843</v>
      </c>
      <c r="H455" s="199">
        <v>0.67</v>
      </c>
    </row>
    <row r="456" spans="2:8" x14ac:dyDescent="0.25">
      <c r="B456" s="112" t="s">
        <v>2908</v>
      </c>
      <c r="C456" s="257" t="s">
        <v>215</v>
      </c>
      <c r="D456" s="258">
        <v>168</v>
      </c>
      <c r="E456" s="234">
        <v>10</v>
      </c>
      <c r="F456" s="234"/>
      <c r="G456" s="234"/>
      <c r="H456" s="279">
        <v>1.8</v>
      </c>
    </row>
    <row r="457" spans="2:8" x14ac:dyDescent="0.25">
      <c r="B457" s="112" t="s">
        <v>2908</v>
      </c>
      <c r="C457" s="97">
        <v>20</v>
      </c>
      <c r="D457" s="97">
        <v>168</v>
      </c>
      <c r="E457" s="97">
        <v>10</v>
      </c>
      <c r="F457" s="287" t="s">
        <v>2785</v>
      </c>
      <c r="G457" s="287" t="s">
        <v>3269</v>
      </c>
      <c r="H457" s="129">
        <v>0.3</v>
      </c>
    </row>
    <row r="458" spans="2:8" x14ac:dyDescent="0.25">
      <c r="B458" s="97" t="s">
        <v>3169</v>
      </c>
      <c r="C458" s="97" t="s">
        <v>314</v>
      </c>
      <c r="D458" s="97">
        <v>168</v>
      </c>
      <c r="E458" s="97">
        <v>10</v>
      </c>
      <c r="F458" s="287" t="s">
        <v>234</v>
      </c>
      <c r="G458" s="287" t="s">
        <v>3448</v>
      </c>
      <c r="H458" s="129">
        <v>1.31</v>
      </c>
    </row>
    <row r="459" spans="2:8" x14ac:dyDescent="0.25">
      <c r="B459" s="97" t="s">
        <v>3169</v>
      </c>
      <c r="C459" s="97" t="s">
        <v>314</v>
      </c>
      <c r="D459" s="97">
        <v>168</v>
      </c>
      <c r="E459" s="97">
        <v>10</v>
      </c>
      <c r="F459" s="287" t="s">
        <v>234</v>
      </c>
      <c r="G459" s="287" t="s">
        <v>3449</v>
      </c>
      <c r="H459" s="129">
        <v>3.09</v>
      </c>
    </row>
    <row r="460" spans="2:8" x14ac:dyDescent="0.25">
      <c r="B460" s="112" t="s">
        <v>2908</v>
      </c>
      <c r="C460" s="106">
        <v>20</v>
      </c>
      <c r="D460" s="234">
        <v>168</v>
      </c>
      <c r="E460" s="106">
        <v>12</v>
      </c>
      <c r="F460" s="200" t="s">
        <v>234</v>
      </c>
      <c r="G460" s="200" t="s">
        <v>2844</v>
      </c>
      <c r="H460" s="199">
        <v>3.4249999999999998</v>
      </c>
    </row>
    <row r="461" spans="2:8" x14ac:dyDescent="0.25">
      <c r="B461" s="112" t="s">
        <v>2908</v>
      </c>
      <c r="C461" s="112">
        <v>20</v>
      </c>
      <c r="D461" s="6">
        <v>168</v>
      </c>
      <c r="E461" s="112">
        <v>12</v>
      </c>
      <c r="F461" s="112" t="s">
        <v>2785</v>
      </c>
      <c r="G461" s="234"/>
      <c r="H461" s="202">
        <v>1.0580000000000001</v>
      </c>
    </row>
    <row r="462" spans="2:8" x14ac:dyDescent="0.2">
      <c r="B462" s="234" t="s">
        <v>3547</v>
      </c>
      <c r="C462" s="234" t="s">
        <v>215</v>
      </c>
      <c r="D462" s="234">
        <v>168</v>
      </c>
      <c r="E462" s="234">
        <v>12</v>
      </c>
      <c r="F462" s="234"/>
      <c r="G462" s="245" t="s">
        <v>2907</v>
      </c>
      <c r="H462" s="274">
        <v>11</v>
      </c>
    </row>
    <row r="463" spans="2:8" x14ac:dyDescent="0.25">
      <c r="B463" s="112" t="s">
        <v>2908</v>
      </c>
      <c r="C463" s="257">
        <v>20</v>
      </c>
      <c r="D463" s="257">
        <v>168</v>
      </c>
      <c r="E463" s="234">
        <v>12</v>
      </c>
      <c r="F463" s="234" t="s">
        <v>2783</v>
      </c>
      <c r="G463" s="234" t="s">
        <v>2968</v>
      </c>
      <c r="H463" s="279">
        <v>1.0620000000000001</v>
      </c>
    </row>
    <row r="464" spans="2:8" x14ac:dyDescent="0.25">
      <c r="B464" s="112" t="s">
        <v>2908</v>
      </c>
      <c r="C464" s="97">
        <v>20</v>
      </c>
      <c r="D464" s="97">
        <v>168</v>
      </c>
      <c r="E464" s="97">
        <v>12</v>
      </c>
      <c r="F464" s="287" t="s">
        <v>2785</v>
      </c>
      <c r="G464" s="287" t="s">
        <v>3270</v>
      </c>
      <c r="H464" s="129">
        <v>0.18</v>
      </c>
    </row>
    <row r="465" spans="2:8" x14ac:dyDescent="0.25">
      <c r="B465" s="112" t="s">
        <v>2908</v>
      </c>
      <c r="C465" s="97">
        <v>20</v>
      </c>
      <c r="D465" s="97">
        <v>168</v>
      </c>
      <c r="E465" s="97">
        <v>12</v>
      </c>
      <c r="F465" s="287" t="s">
        <v>2785</v>
      </c>
      <c r="G465" s="287" t="s">
        <v>3246</v>
      </c>
      <c r="H465" s="129">
        <v>31.87</v>
      </c>
    </row>
    <row r="466" spans="2:8" x14ac:dyDescent="0.25">
      <c r="B466" s="97" t="s">
        <v>3169</v>
      </c>
      <c r="C466" s="97" t="s">
        <v>314</v>
      </c>
      <c r="D466" s="97">
        <v>168</v>
      </c>
      <c r="E466" s="97">
        <v>13</v>
      </c>
      <c r="F466" s="287" t="s">
        <v>234</v>
      </c>
      <c r="G466" s="287" t="s">
        <v>3051</v>
      </c>
      <c r="H466" s="129">
        <v>0.39600000000000002</v>
      </c>
    </row>
    <row r="467" spans="2:8" x14ac:dyDescent="0.25">
      <c r="B467" s="112" t="s">
        <v>2908</v>
      </c>
      <c r="C467" s="106">
        <v>20</v>
      </c>
      <c r="D467" s="234">
        <v>168</v>
      </c>
      <c r="E467" s="106">
        <v>14</v>
      </c>
      <c r="F467" s="198" t="s">
        <v>234</v>
      </c>
      <c r="G467" s="198" t="s">
        <v>2832</v>
      </c>
      <c r="H467" s="202">
        <v>3.2549999999999999</v>
      </c>
    </row>
    <row r="468" spans="2:8" x14ac:dyDescent="0.25">
      <c r="B468" s="112" t="s">
        <v>2908</v>
      </c>
      <c r="C468" s="106">
        <v>20</v>
      </c>
      <c r="D468" s="234">
        <v>168</v>
      </c>
      <c r="E468" s="106">
        <v>14</v>
      </c>
      <c r="F468" s="198" t="s">
        <v>2785</v>
      </c>
      <c r="G468" s="198" t="s">
        <v>2845</v>
      </c>
      <c r="H468" s="202">
        <v>10.185</v>
      </c>
    </row>
    <row r="469" spans="2:8" x14ac:dyDescent="0.25">
      <c r="B469" s="112" t="s">
        <v>2908</v>
      </c>
      <c r="C469" s="112">
        <v>20</v>
      </c>
      <c r="D469" s="6">
        <v>168</v>
      </c>
      <c r="E469" s="112">
        <v>14</v>
      </c>
      <c r="F469" s="112" t="s">
        <v>2785</v>
      </c>
      <c r="G469" s="234" t="s">
        <v>2888</v>
      </c>
      <c r="H469" s="202">
        <v>0.98699999999999999</v>
      </c>
    </row>
    <row r="470" spans="2:8" x14ac:dyDescent="0.25">
      <c r="B470" s="112" t="s">
        <v>2908</v>
      </c>
      <c r="C470" s="97"/>
      <c r="D470" s="97">
        <v>168</v>
      </c>
      <c r="E470" s="97">
        <v>16</v>
      </c>
      <c r="F470" s="97" t="s">
        <v>2785</v>
      </c>
      <c r="G470" s="97"/>
      <c r="H470" s="278">
        <v>4.3600000000000003</v>
      </c>
    </row>
    <row r="471" spans="2:8" x14ac:dyDescent="0.2">
      <c r="B471" s="134" t="s">
        <v>3001</v>
      </c>
      <c r="C471" s="134" t="s">
        <v>3136</v>
      </c>
      <c r="D471" s="134">
        <v>168</v>
      </c>
      <c r="E471" s="134">
        <v>16</v>
      </c>
      <c r="F471" s="22"/>
      <c r="G471" s="22" t="s">
        <v>3137</v>
      </c>
      <c r="H471" s="181">
        <v>0.42499999999999999</v>
      </c>
    </row>
    <row r="472" spans="2:8" x14ac:dyDescent="0.25">
      <c r="B472" s="97" t="s">
        <v>3169</v>
      </c>
      <c r="C472" s="97" t="s">
        <v>314</v>
      </c>
      <c r="D472" s="97">
        <v>168</v>
      </c>
      <c r="E472" s="97">
        <v>16</v>
      </c>
      <c r="F472" s="287" t="s">
        <v>234</v>
      </c>
      <c r="G472" s="287" t="s">
        <v>3450</v>
      </c>
      <c r="H472" s="129">
        <v>1.4450000000000001</v>
      </c>
    </row>
    <row r="473" spans="2:8" x14ac:dyDescent="0.25">
      <c r="B473" s="112" t="s">
        <v>2908</v>
      </c>
      <c r="C473" s="106">
        <v>20</v>
      </c>
      <c r="D473" s="234">
        <v>168</v>
      </c>
      <c r="E473" s="106">
        <v>18</v>
      </c>
      <c r="F473" s="198" t="s">
        <v>234</v>
      </c>
      <c r="G473" s="198" t="s">
        <v>2837</v>
      </c>
      <c r="H473" s="202">
        <v>3.5</v>
      </c>
    </row>
    <row r="474" spans="2:8" x14ac:dyDescent="0.25">
      <c r="B474" s="112" t="s">
        <v>2908</v>
      </c>
      <c r="C474" s="97">
        <v>20</v>
      </c>
      <c r="D474" s="97">
        <v>168</v>
      </c>
      <c r="E474" s="97">
        <v>20</v>
      </c>
      <c r="F474" s="287" t="s">
        <v>2785</v>
      </c>
      <c r="G474" s="287" t="s">
        <v>3271</v>
      </c>
      <c r="H474" s="129">
        <v>43.47</v>
      </c>
    </row>
    <row r="475" spans="2:8" x14ac:dyDescent="0.25">
      <c r="B475" s="112" t="s">
        <v>2908</v>
      </c>
      <c r="C475" s="97" t="s">
        <v>212</v>
      </c>
      <c r="D475" s="97">
        <v>168</v>
      </c>
      <c r="E475" s="97">
        <v>22</v>
      </c>
      <c r="F475" s="287" t="s">
        <v>2785</v>
      </c>
      <c r="G475" s="287" t="s">
        <v>3272</v>
      </c>
      <c r="H475" s="129">
        <v>0.56499999999999995</v>
      </c>
    </row>
    <row r="476" spans="2:8" x14ac:dyDescent="0.25">
      <c r="B476" s="97" t="s">
        <v>3169</v>
      </c>
      <c r="C476" s="97" t="s">
        <v>3451</v>
      </c>
      <c r="D476" s="97">
        <v>168</v>
      </c>
      <c r="E476" s="97">
        <v>22</v>
      </c>
      <c r="F476" s="287" t="s">
        <v>234</v>
      </c>
      <c r="G476" s="287" t="s">
        <v>3452</v>
      </c>
      <c r="H476" s="129">
        <v>0.65</v>
      </c>
    </row>
    <row r="477" spans="2:8" x14ac:dyDescent="0.25">
      <c r="B477" s="112" t="s">
        <v>2908</v>
      </c>
      <c r="C477" s="97" t="s">
        <v>3063</v>
      </c>
      <c r="D477" s="97">
        <v>168</v>
      </c>
      <c r="E477" s="97">
        <v>24</v>
      </c>
      <c r="F477" s="287" t="s">
        <v>2785</v>
      </c>
      <c r="G477" s="287" t="s">
        <v>3273</v>
      </c>
      <c r="H477" s="129">
        <v>2.4</v>
      </c>
    </row>
    <row r="478" spans="2:8" x14ac:dyDescent="0.25">
      <c r="B478" s="112" t="s">
        <v>2908</v>
      </c>
      <c r="C478" s="97" t="s">
        <v>3063</v>
      </c>
      <c r="D478" s="97">
        <v>168</v>
      </c>
      <c r="E478" s="97">
        <v>24</v>
      </c>
      <c r="F478" s="287" t="s">
        <v>2785</v>
      </c>
      <c r="G478" s="287" t="s">
        <v>3274</v>
      </c>
      <c r="H478" s="129">
        <v>4.28</v>
      </c>
    </row>
    <row r="479" spans="2:8" x14ac:dyDescent="0.25">
      <c r="B479" s="97" t="s">
        <v>3169</v>
      </c>
      <c r="C479" s="97" t="s">
        <v>314</v>
      </c>
      <c r="D479" s="97">
        <v>168</v>
      </c>
      <c r="E479" s="97">
        <v>24</v>
      </c>
      <c r="F479" s="287" t="s">
        <v>234</v>
      </c>
      <c r="G479" s="287" t="s">
        <v>3453</v>
      </c>
      <c r="H479" s="129">
        <v>1.2</v>
      </c>
    </row>
    <row r="480" spans="2:8" x14ac:dyDescent="0.25">
      <c r="B480" s="112" t="s">
        <v>2908</v>
      </c>
      <c r="C480" s="97" t="s">
        <v>2984</v>
      </c>
      <c r="D480" s="97">
        <v>168</v>
      </c>
      <c r="E480" s="97">
        <v>26</v>
      </c>
      <c r="F480" s="287" t="s">
        <v>2785</v>
      </c>
      <c r="G480" s="287" t="s">
        <v>3275</v>
      </c>
      <c r="H480" s="129">
        <v>0.73</v>
      </c>
    </row>
    <row r="481" spans="2:8" x14ac:dyDescent="0.25">
      <c r="B481" s="97" t="s">
        <v>3169</v>
      </c>
      <c r="C481" s="97" t="s">
        <v>314</v>
      </c>
      <c r="D481" s="97">
        <v>168</v>
      </c>
      <c r="E481" s="97">
        <v>26</v>
      </c>
      <c r="F481" s="287" t="s">
        <v>234</v>
      </c>
      <c r="G481" s="287" t="s">
        <v>3454</v>
      </c>
      <c r="H481" s="129">
        <v>0.51</v>
      </c>
    </row>
    <row r="482" spans="2:8" x14ac:dyDescent="0.25">
      <c r="B482" s="112" t="s">
        <v>2908</v>
      </c>
      <c r="C482" s="97" t="s">
        <v>3063</v>
      </c>
      <c r="D482" s="97">
        <v>168</v>
      </c>
      <c r="E482" s="97">
        <v>27</v>
      </c>
      <c r="F482" s="287" t="s">
        <v>2785</v>
      </c>
      <c r="G482" s="287" t="s">
        <v>3276</v>
      </c>
      <c r="H482" s="129">
        <v>0.36</v>
      </c>
    </row>
    <row r="483" spans="2:8" x14ac:dyDescent="0.25">
      <c r="B483" s="97" t="s">
        <v>3169</v>
      </c>
      <c r="C483" s="97" t="s">
        <v>314</v>
      </c>
      <c r="D483" s="97">
        <v>168</v>
      </c>
      <c r="E483" s="97">
        <v>32</v>
      </c>
      <c r="F483" s="287" t="s">
        <v>234</v>
      </c>
      <c r="G483" s="287" t="s">
        <v>3455</v>
      </c>
      <c r="H483" s="129">
        <v>2.5099999999999998</v>
      </c>
    </row>
    <row r="484" spans="2:8" x14ac:dyDescent="0.25">
      <c r="B484" s="112" t="s">
        <v>2908</v>
      </c>
      <c r="C484" s="97" t="s">
        <v>3226</v>
      </c>
      <c r="D484" s="97">
        <v>168</v>
      </c>
      <c r="E484" s="97">
        <v>40</v>
      </c>
      <c r="F484" s="287" t="s">
        <v>2785</v>
      </c>
      <c r="G484" s="287" t="s">
        <v>177</v>
      </c>
      <c r="H484" s="129">
        <v>9.5000000000000001E-2</v>
      </c>
    </row>
    <row r="485" spans="2:8" x14ac:dyDescent="0.25">
      <c r="B485" s="112" t="s">
        <v>2908</v>
      </c>
      <c r="C485" s="97" t="s">
        <v>212</v>
      </c>
      <c r="D485" s="97">
        <v>176</v>
      </c>
      <c r="E485" s="97">
        <v>42</v>
      </c>
      <c r="F485" s="287" t="s">
        <v>2785</v>
      </c>
      <c r="G485" s="287" t="s">
        <v>3277</v>
      </c>
      <c r="H485" s="129">
        <v>0.745</v>
      </c>
    </row>
    <row r="486" spans="2:8" x14ac:dyDescent="0.25">
      <c r="B486" s="112" t="s">
        <v>2908</v>
      </c>
      <c r="C486" s="97" t="s">
        <v>3265</v>
      </c>
      <c r="D486" s="97">
        <v>176</v>
      </c>
      <c r="E486" s="97">
        <v>42</v>
      </c>
      <c r="F486" s="287" t="s">
        <v>2785</v>
      </c>
      <c r="G486" s="287" t="s">
        <v>3278</v>
      </c>
      <c r="H486" s="129">
        <v>6.52</v>
      </c>
    </row>
    <row r="487" spans="2:8" x14ac:dyDescent="0.25">
      <c r="B487" s="112" t="s">
        <v>2908</v>
      </c>
      <c r="C487" s="97" t="s">
        <v>3265</v>
      </c>
      <c r="D487" s="97">
        <v>176</v>
      </c>
      <c r="E487" s="97">
        <v>44</v>
      </c>
      <c r="F487" s="287" t="s">
        <v>2785</v>
      </c>
      <c r="G487" s="287" t="s">
        <v>3279</v>
      </c>
      <c r="H487" s="129">
        <v>1.81</v>
      </c>
    </row>
    <row r="488" spans="2:8" x14ac:dyDescent="0.25">
      <c r="B488" s="234" t="s">
        <v>3548</v>
      </c>
      <c r="C488" s="97" t="s">
        <v>3280</v>
      </c>
      <c r="D488" s="97">
        <v>178</v>
      </c>
      <c r="E488" s="97">
        <v>9.19</v>
      </c>
      <c r="F488" s="287"/>
      <c r="G488" s="287" t="s">
        <v>3281</v>
      </c>
      <c r="H488" s="129">
        <v>24</v>
      </c>
    </row>
    <row r="489" spans="2:8" x14ac:dyDescent="0.25">
      <c r="B489" s="112" t="s">
        <v>2908</v>
      </c>
      <c r="C489" s="97">
        <v>20</v>
      </c>
      <c r="D489" s="97">
        <v>180</v>
      </c>
      <c r="E489" s="97">
        <v>22</v>
      </c>
      <c r="F489" s="287" t="s">
        <v>2785</v>
      </c>
      <c r="G489" s="287" t="s">
        <v>3282</v>
      </c>
      <c r="H489" s="129">
        <v>4.585</v>
      </c>
    </row>
    <row r="490" spans="2:8" x14ac:dyDescent="0.25">
      <c r="B490" s="112" t="s">
        <v>2908</v>
      </c>
      <c r="C490" s="55" t="s">
        <v>1711</v>
      </c>
      <c r="D490" s="263">
        <v>180</v>
      </c>
      <c r="E490" s="263">
        <v>25</v>
      </c>
      <c r="F490" s="260" t="s">
        <v>150</v>
      </c>
      <c r="G490" s="234"/>
      <c r="H490" s="202">
        <f>3.665-0.195-0.578</f>
        <v>2.8920000000000003</v>
      </c>
    </row>
    <row r="491" spans="2:8" x14ac:dyDescent="0.25">
      <c r="B491" s="112" t="s">
        <v>2908</v>
      </c>
      <c r="C491" s="97" t="s">
        <v>3265</v>
      </c>
      <c r="D491" s="97">
        <v>180</v>
      </c>
      <c r="E491" s="97">
        <v>50</v>
      </c>
      <c r="F491" s="287" t="s">
        <v>2785</v>
      </c>
      <c r="G491" s="287" t="s">
        <v>3283</v>
      </c>
      <c r="H491" s="129">
        <v>1.7</v>
      </c>
    </row>
    <row r="492" spans="2:8" x14ac:dyDescent="0.25">
      <c r="B492" s="112" t="s">
        <v>2908</v>
      </c>
      <c r="C492" s="97">
        <v>10</v>
      </c>
      <c r="D492" s="97">
        <v>194</v>
      </c>
      <c r="E492" s="97">
        <v>12</v>
      </c>
      <c r="F492" s="287" t="s">
        <v>2785</v>
      </c>
      <c r="G492" s="287" t="s">
        <v>3284</v>
      </c>
      <c r="H492" s="129">
        <v>0.53</v>
      </c>
    </row>
    <row r="493" spans="2:8" x14ac:dyDescent="0.25">
      <c r="B493" s="97" t="s">
        <v>3169</v>
      </c>
      <c r="C493" s="97" t="s">
        <v>3414</v>
      </c>
      <c r="D493" s="97">
        <v>194</v>
      </c>
      <c r="E493" s="97">
        <v>16</v>
      </c>
      <c r="F493" s="287" t="s">
        <v>234</v>
      </c>
      <c r="G493" s="287" t="s">
        <v>3456</v>
      </c>
      <c r="H493" s="129">
        <v>2.06</v>
      </c>
    </row>
    <row r="494" spans="2:8" x14ac:dyDescent="0.25">
      <c r="B494" s="112" t="s">
        <v>2908</v>
      </c>
      <c r="C494" s="97" t="s">
        <v>307</v>
      </c>
      <c r="D494" s="97">
        <v>194</v>
      </c>
      <c r="E494" s="97">
        <v>20</v>
      </c>
      <c r="F494" s="287" t="s">
        <v>2785</v>
      </c>
      <c r="G494" s="287" t="s">
        <v>3285</v>
      </c>
      <c r="H494" s="129">
        <v>0.34</v>
      </c>
    </row>
    <row r="495" spans="2:8" x14ac:dyDescent="0.25">
      <c r="B495" s="112" t="s">
        <v>2908</v>
      </c>
      <c r="C495" s="55" t="s">
        <v>154</v>
      </c>
      <c r="D495" s="263">
        <v>194</v>
      </c>
      <c r="E495" s="263">
        <v>22</v>
      </c>
      <c r="F495" s="260" t="s">
        <v>150</v>
      </c>
      <c r="G495" s="234"/>
      <c r="H495" s="202">
        <v>1.22</v>
      </c>
    </row>
    <row r="496" spans="2:8" x14ac:dyDescent="0.25">
      <c r="B496" s="112" t="s">
        <v>2908</v>
      </c>
      <c r="C496" s="97">
        <v>45</v>
      </c>
      <c r="D496" s="97">
        <v>194</v>
      </c>
      <c r="E496" s="97">
        <v>22</v>
      </c>
      <c r="F496" s="287" t="s">
        <v>2785</v>
      </c>
      <c r="G496" s="287" t="s">
        <v>3286</v>
      </c>
      <c r="H496" s="129">
        <v>0.185</v>
      </c>
    </row>
    <row r="497" spans="2:8" x14ac:dyDescent="0.25">
      <c r="B497" s="234" t="s">
        <v>3169</v>
      </c>
      <c r="C497" s="55" t="s">
        <v>2985</v>
      </c>
      <c r="D497" s="263">
        <v>194</v>
      </c>
      <c r="E497" s="263">
        <v>24</v>
      </c>
      <c r="F497" s="260" t="s">
        <v>3003</v>
      </c>
      <c r="G497" s="234"/>
      <c r="H497" s="202">
        <f>3.543-1.751</f>
        <v>1.7920000000000003</v>
      </c>
    </row>
    <row r="498" spans="2:8" x14ac:dyDescent="0.25">
      <c r="B498" s="234" t="s">
        <v>3169</v>
      </c>
      <c r="C498" s="55" t="s">
        <v>2985</v>
      </c>
      <c r="D498" s="263">
        <v>194</v>
      </c>
      <c r="E498" s="263">
        <v>26</v>
      </c>
      <c r="F498" s="260" t="s">
        <v>3003</v>
      </c>
      <c r="G498" s="234"/>
      <c r="H498" s="202">
        <v>1.2869999999999999</v>
      </c>
    </row>
    <row r="499" spans="2:8" x14ac:dyDescent="0.25">
      <c r="B499" s="112" t="s">
        <v>2908</v>
      </c>
      <c r="C499" s="97">
        <v>20</v>
      </c>
      <c r="D499" s="97">
        <v>194</v>
      </c>
      <c r="E499" s="97">
        <v>28</v>
      </c>
      <c r="F499" s="287" t="s">
        <v>2785</v>
      </c>
      <c r="G499" s="287" t="s">
        <v>3287</v>
      </c>
      <c r="H499" s="129">
        <v>0.28000000000000003</v>
      </c>
    </row>
    <row r="500" spans="2:8" x14ac:dyDescent="0.25">
      <c r="B500" s="112" t="s">
        <v>2908</v>
      </c>
      <c r="C500" s="55" t="s">
        <v>2946</v>
      </c>
      <c r="D500" s="263">
        <v>194</v>
      </c>
      <c r="E500" s="263">
        <v>36</v>
      </c>
      <c r="F500" s="260" t="s">
        <v>150</v>
      </c>
      <c r="G500" s="234"/>
      <c r="H500" s="202">
        <v>0.44900000000000001</v>
      </c>
    </row>
    <row r="501" spans="2:8" x14ac:dyDescent="0.25">
      <c r="B501" s="97" t="s">
        <v>3169</v>
      </c>
      <c r="C501" s="97" t="s">
        <v>314</v>
      </c>
      <c r="D501" s="97">
        <v>194</v>
      </c>
      <c r="E501" s="97">
        <v>38</v>
      </c>
      <c r="F501" s="287" t="s">
        <v>234</v>
      </c>
      <c r="G501" s="287" t="s">
        <v>3457</v>
      </c>
      <c r="H501" s="129">
        <v>0.59</v>
      </c>
    </row>
    <row r="502" spans="2:8" x14ac:dyDescent="0.25">
      <c r="B502" s="112" t="s">
        <v>2908</v>
      </c>
      <c r="C502" s="97" t="s">
        <v>212</v>
      </c>
      <c r="D502" s="97">
        <v>203</v>
      </c>
      <c r="E502" s="97">
        <v>34</v>
      </c>
      <c r="F502" s="287" t="s">
        <v>2785</v>
      </c>
      <c r="G502" s="287" t="s">
        <v>3288</v>
      </c>
      <c r="H502" s="129">
        <v>1.05</v>
      </c>
    </row>
    <row r="503" spans="2:8" x14ac:dyDescent="0.25">
      <c r="B503" s="112" t="s">
        <v>2908</v>
      </c>
      <c r="C503" s="97" t="s">
        <v>3289</v>
      </c>
      <c r="D503" s="97">
        <v>203</v>
      </c>
      <c r="E503" s="97">
        <v>38</v>
      </c>
      <c r="F503" s="287" t="s">
        <v>2785</v>
      </c>
      <c r="G503" s="287" t="s">
        <v>3290</v>
      </c>
      <c r="H503" s="129">
        <v>0.66500000000000004</v>
      </c>
    </row>
    <row r="504" spans="2:8" x14ac:dyDescent="0.25">
      <c r="B504" s="112" t="s">
        <v>2908</v>
      </c>
      <c r="C504" s="97" t="s">
        <v>310</v>
      </c>
      <c r="D504" s="97">
        <v>203</v>
      </c>
      <c r="E504" s="97">
        <v>38</v>
      </c>
      <c r="F504" s="287" t="s">
        <v>2785</v>
      </c>
      <c r="G504" s="287" t="s">
        <v>3291</v>
      </c>
      <c r="H504" s="129">
        <v>0.27500000000000002</v>
      </c>
    </row>
    <row r="505" spans="2:8" x14ac:dyDescent="0.25">
      <c r="B505" s="112" t="s">
        <v>2908</v>
      </c>
      <c r="C505" s="97" t="s">
        <v>3265</v>
      </c>
      <c r="D505" s="97">
        <v>203</v>
      </c>
      <c r="E505" s="97">
        <v>60</v>
      </c>
      <c r="F505" s="287" t="s">
        <v>2785</v>
      </c>
      <c r="G505" s="287" t="s">
        <v>3292</v>
      </c>
      <c r="H505" s="129">
        <v>16.715</v>
      </c>
    </row>
    <row r="506" spans="2:8" x14ac:dyDescent="0.25">
      <c r="B506" s="112" t="s">
        <v>2908</v>
      </c>
      <c r="C506" s="97" t="s">
        <v>3293</v>
      </c>
      <c r="D506" s="97">
        <v>212</v>
      </c>
      <c r="E506" s="97">
        <v>22</v>
      </c>
      <c r="F506" s="287" t="s">
        <v>2785</v>
      </c>
      <c r="G506" s="287" t="s">
        <v>3294</v>
      </c>
      <c r="H506" s="129">
        <v>0.19500000000000001</v>
      </c>
    </row>
    <row r="507" spans="2:8" x14ac:dyDescent="0.2">
      <c r="B507" s="134" t="s">
        <v>3093</v>
      </c>
      <c r="C507" s="134" t="s">
        <v>249</v>
      </c>
      <c r="D507" s="134">
        <v>219</v>
      </c>
      <c r="E507" s="134">
        <v>3.76</v>
      </c>
      <c r="F507" s="22"/>
      <c r="G507" s="22" t="s">
        <v>3138</v>
      </c>
      <c r="H507" s="181">
        <v>0.18</v>
      </c>
    </row>
    <row r="508" spans="2:8" x14ac:dyDescent="0.2">
      <c r="B508" s="134" t="s">
        <v>3093</v>
      </c>
      <c r="C508" s="134" t="s">
        <v>249</v>
      </c>
      <c r="D508" s="134">
        <v>219</v>
      </c>
      <c r="E508" s="134">
        <v>4</v>
      </c>
      <c r="F508" s="22"/>
      <c r="G508" s="22" t="s">
        <v>3114</v>
      </c>
      <c r="H508" s="181">
        <v>0.38</v>
      </c>
    </row>
    <row r="509" spans="2:8" x14ac:dyDescent="0.25">
      <c r="B509" s="97" t="s">
        <v>202</v>
      </c>
      <c r="C509" s="257">
        <v>20</v>
      </c>
      <c r="D509" s="257">
        <v>219</v>
      </c>
      <c r="E509" s="234">
        <v>5</v>
      </c>
      <c r="F509" s="234" t="s">
        <v>2961</v>
      </c>
      <c r="G509" s="234">
        <v>11.8</v>
      </c>
      <c r="H509" s="279">
        <v>0.93400000000000005</v>
      </c>
    </row>
    <row r="510" spans="2:8" x14ac:dyDescent="0.25">
      <c r="B510" s="112" t="s">
        <v>2908</v>
      </c>
      <c r="C510" s="234" t="s">
        <v>210</v>
      </c>
      <c r="D510" s="234">
        <v>219</v>
      </c>
      <c r="E510" s="106">
        <v>6</v>
      </c>
      <c r="F510" s="198" t="s">
        <v>286</v>
      </c>
      <c r="G510" s="198" t="s">
        <v>2847</v>
      </c>
      <c r="H510" s="201">
        <v>4.5</v>
      </c>
    </row>
    <row r="511" spans="2:8" x14ac:dyDescent="0.25">
      <c r="B511" s="112" t="s">
        <v>2908</v>
      </c>
      <c r="C511" s="112">
        <v>20</v>
      </c>
      <c r="D511" s="6">
        <v>219</v>
      </c>
      <c r="E511" s="112">
        <v>6</v>
      </c>
      <c r="F511" s="112" t="s">
        <v>2785</v>
      </c>
      <c r="G511" s="234">
        <v>10.72</v>
      </c>
      <c r="H511" s="202">
        <v>0.33700000000000002</v>
      </c>
    </row>
    <row r="512" spans="2:8" x14ac:dyDescent="0.25">
      <c r="B512" s="112" t="s">
        <v>2908</v>
      </c>
      <c r="C512" s="187" t="s">
        <v>210</v>
      </c>
      <c r="D512" s="112">
        <v>219</v>
      </c>
      <c r="E512" s="187">
        <v>6</v>
      </c>
      <c r="F512" s="112" t="s">
        <v>2785</v>
      </c>
      <c r="G512" s="234"/>
      <c r="H512" s="202">
        <v>6.5579999999999998</v>
      </c>
    </row>
    <row r="513" spans="2:8" x14ac:dyDescent="0.25">
      <c r="B513" s="97" t="s">
        <v>202</v>
      </c>
      <c r="C513" s="97">
        <v>20</v>
      </c>
      <c r="D513" s="97">
        <v>219</v>
      </c>
      <c r="E513" s="97">
        <v>6</v>
      </c>
      <c r="F513" s="97" t="s">
        <v>2910</v>
      </c>
      <c r="G513" s="97"/>
      <c r="H513" s="278">
        <v>15.67</v>
      </c>
    </row>
    <row r="514" spans="2:8" x14ac:dyDescent="0.2">
      <c r="B514" s="134" t="s">
        <v>202</v>
      </c>
      <c r="C514" s="134" t="s">
        <v>215</v>
      </c>
      <c r="D514" s="134">
        <v>219</v>
      </c>
      <c r="E514" s="134">
        <v>6</v>
      </c>
      <c r="F514" s="22" t="s">
        <v>2794</v>
      </c>
      <c r="G514" s="22" t="s">
        <v>3060</v>
      </c>
      <c r="H514" s="181">
        <v>0.33500000000000002</v>
      </c>
    </row>
    <row r="515" spans="2:8" x14ac:dyDescent="0.25">
      <c r="B515" s="112" t="s">
        <v>2908</v>
      </c>
      <c r="C515" s="106">
        <v>20</v>
      </c>
      <c r="D515" s="234">
        <v>219</v>
      </c>
      <c r="E515" s="234">
        <v>7</v>
      </c>
      <c r="F515" s="198" t="s">
        <v>2786</v>
      </c>
      <c r="G515" s="198" t="s">
        <v>2837</v>
      </c>
      <c r="H515" s="201">
        <v>7.7</v>
      </c>
    </row>
    <row r="516" spans="2:8" x14ac:dyDescent="0.25">
      <c r="B516" s="112" t="s">
        <v>2908</v>
      </c>
      <c r="C516" s="187"/>
      <c r="D516" s="112">
        <v>219</v>
      </c>
      <c r="E516" s="187">
        <v>7</v>
      </c>
      <c r="F516" s="112" t="s">
        <v>2785</v>
      </c>
      <c r="G516" s="234" t="s">
        <v>2889</v>
      </c>
      <c r="H516" s="202">
        <v>0.64900000000000002</v>
      </c>
    </row>
    <row r="517" spans="2:8" x14ac:dyDescent="0.25">
      <c r="B517" s="112" t="s">
        <v>2908</v>
      </c>
      <c r="C517" s="97"/>
      <c r="D517" s="97">
        <v>219</v>
      </c>
      <c r="E517" s="97">
        <v>7</v>
      </c>
      <c r="F517" s="97" t="s">
        <v>2926</v>
      </c>
      <c r="G517" s="97"/>
      <c r="H517" s="278">
        <v>3.35</v>
      </c>
    </row>
    <row r="518" spans="2:8" x14ac:dyDescent="0.2">
      <c r="B518" s="134" t="s">
        <v>202</v>
      </c>
      <c r="C518" s="134" t="s">
        <v>215</v>
      </c>
      <c r="D518" s="134">
        <v>219</v>
      </c>
      <c r="E518" s="134">
        <v>7</v>
      </c>
      <c r="F518" s="22" t="s">
        <v>2794</v>
      </c>
      <c r="G518" s="22" t="s">
        <v>3061</v>
      </c>
      <c r="H518" s="181">
        <v>0.8</v>
      </c>
    </row>
    <row r="519" spans="2:8" x14ac:dyDescent="0.25">
      <c r="B519" s="112" t="s">
        <v>2908</v>
      </c>
      <c r="C519" s="106">
        <v>20</v>
      </c>
      <c r="D519" s="234">
        <v>219</v>
      </c>
      <c r="E519" s="234">
        <v>8</v>
      </c>
      <c r="F519" s="198" t="s">
        <v>2786</v>
      </c>
      <c r="G519" s="198" t="s">
        <v>2848</v>
      </c>
      <c r="H519" s="201">
        <v>8.36</v>
      </c>
    </row>
    <row r="520" spans="2:8" x14ac:dyDescent="0.25">
      <c r="B520" s="187" t="s">
        <v>202</v>
      </c>
      <c r="C520" s="106" t="s">
        <v>210</v>
      </c>
      <c r="D520" s="234">
        <v>219</v>
      </c>
      <c r="E520" s="234">
        <v>8</v>
      </c>
      <c r="F520" s="112" t="s">
        <v>2785</v>
      </c>
      <c r="G520" s="234"/>
      <c r="H520" s="274">
        <v>1.94</v>
      </c>
    </row>
    <row r="521" spans="2:8" x14ac:dyDescent="0.25">
      <c r="B521" s="187" t="s">
        <v>2901</v>
      </c>
      <c r="C521" s="234"/>
      <c r="D521" s="234">
        <v>219</v>
      </c>
      <c r="E521" s="234">
        <v>8</v>
      </c>
      <c r="F521" s="244"/>
      <c r="G521" s="234"/>
      <c r="H521" s="274">
        <v>5.4</v>
      </c>
    </row>
    <row r="522" spans="2:8" x14ac:dyDescent="0.25">
      <c r="B522" s="97" t="s">
        <v>202</v>
      </c>
      <c r="C522" s="97">
        <v>3</v>
      </c>
      <c r="D522" s="97">
        <v>219</v>
      </c>
      <c r="E522" s="97">
        <v>8</v>
      </c>
      <c r="F522" s="97" t="s">
        <v>2910</v>
      </c>
      <c r="G522" s="97"/>
      <c r="H522" s="278">
        <v>6</v>
      </c>
    </row>
    <row r="523" spans="2:8" x14ac:dyDescent="0.25">
      <c r="B523" s="97" t="s">
        <v>202</v>
      </c>
      <c r="C523" s="97">
        <v>20</v>
      </c>
      <c r="D523" s="97">
        <v>219</v>
      </c>
      <c r="E523" s="97">
        <v>8</v>
      </c>
      <c r="F523" s="97" t="s">
        <v>2910</v>
      </c>
      <c r="G523" s="97"/>
      <c r="H523" s="278">
        <v>7.6</v>
      </c>
    </row>
    <row r="524" spans="2:8" x14ac:dyDescent="0.25">
      <c r="B524" s="112" t="s">
        <v>2908</v>
      </c>
      <c r="C524" s="97"/>
      <c r="D524" s="97">
        <v>219</v>
      </c>
      <c r="E524" s="97">
        <v>8</v>
      </c>
      <c r="F524" s="97" t="s">
        <v>2924</v>
      </c>
      <c r="G524" s="97"/>
      <c r="H524" s="278">
        <v>5.04</v>
      </c>
    </row>
    <row r="525" spans="2:8" x14ac:dyDescent="0.25">
      <c r="B525" s="112" t="s">
        <v>2908</v>
      </c>
      <c r="C525" s="55" t="s">
        <v>154</v>
      </c>
      <c r="D525" s="263">
        <v>219</v>
      </c>
      <c r="E525" s="263">
        <v>8</v>
      </c>
      <c r="F525" s="260" t="s">
        <v>3006</v>
      </c>
      <c r="G525" s="234"/>
      <c r="H525" s="202">
        <v>0.63</v>
      </c>
    </row>
    <row r="526" spans="2:8" x14ac:dyDescent="0.2">
      <c r="B526" s="134" t="s">
        <v>202</v>
      </c>
      <c r="C526" s="134" t="s">
        <v>210</v>
      </c>
      <c r="D526" s="134">
        <v>219</v>
      </c>
      <c r="E526" s="134">
        <v>8</v>
      </c>
      <c r="F526" s="22" t="s">
        <v>2794</v>
      </c>
      <c r="G526" s="22" t="s">
        <v>3062</v>
      </c>
      <c r="H526" s="181">
        <v>51.253</v>
      </c>
    </row>
    <row r="527" spans="2:8" x14ac:dyDescent="0.25">
      <c r="B527" s="112" t="s">
        <v>2908</v>
      </c>
      <c r="C527" s="97" t="s">
        <v>210</v>
      </c>
      <c r="D527" s="97">
        <v>219</v>
      </c>
      <c r="E527" s="97">
        <v>8</v>
      </c>
      <c r="F527" s="287" t="s">
        <v>2785</v>
      </c>
      <c r="G527" s="287" t="s">
        <v>3295</v>
      </c>
      <c r="H527" s="129">
        <v>0.215</v>
      </c>
    </row>
    <row r="528" spans="2:8" x14ac:dyDescent="0.25">
      <c r="B528" s="112" t="s">
        <v>2908</v>
      </c>
      <c r="C528" s="112"/>
      <c r="D528" s="112">
        <v>219</v>
      </c>
      <c r="E528" s="112">
        <v>9</v>
      </c>
      <c r="F528" s="112" t="s">
        <v>2785</v>
      </c>
      <c r="G528" s="70">
        <v>10.5</v>
      </c>
      <c r="H528" s="202">
        <v>0.48899999999999999</v>
      </c>
    </row>
    <row r="529" spans="2:8" x14ac:dyDescent="0.25">
      <c r="B529" s="112" t="s">
        <v>2908</v>
      </c>
      <c r="C529" s="55">
        <v>10</v>
      </c>
      <c r="D529" s="263">
        <v>219</v>
      </c>
      <c r="E529" s="263">
        <v>9</v>
      </c>
      <c r="F529" s="260" t="s">
        <v>150</v>
      </c>
      <c r="G529" s="234"/>
      <c r="H529" s="202">
        <v>0.373</v>
      </c>
    </row>
    <row r="530" spans="2:8" x14ac:dyDescent="0.25">
      <c r="B530" s="97" t="s">
        <v>3169</v>
      </c>
      <c r="C530" s="97" t="s">
        <v>713</v>
      </c>
      <c r="D530" s="97">
        <v>219</v>
      </c>
      <c r="E530" s="97">
        <v>9</v>
      </c>
      <c r="F530" s="287" t="s">
        <v>234</v>
      </c>
      <c r="G530" s="287" t="s">
        <v>3458</v>
      </c>
      <c r="H530" s="129">
        <v>0.185</v>
      </c>
    </row>
    <row r="531" spans="2:8" x14ac:dyDescent="0.25">
      <c r="B531" s="112" t="s">
        <v>2908</v>
      </c>
      <c r="C531" s="187"/>
      <c r="D531" s="187">
        <v>219</v>
      </c>
      <c r="E531" s="187">
        <v>10</v>
      </c>
      <c r="F531" s="112" t="s">
        <v>2785</v>
      </c>
      <c r="G531" s="234"/>
      <c r="H531" s="202">
        <v>1.587</v>
      </c>
    </row>
    <row r="532" spans="2:8" x14ac:dyDescent="0.25">
      <c r="B532" s="97" t="s">
        <v>202</v>
      </c>
      <c r="C532" s="97"/>
      <c r="D532" s="97">
        <v>219</v>
      </c>
      <c r="E532" s="97">
        <v>10</v>
      </c>
      <c r="F532" s="97" t="s">
        <v>2910</v>
      </c>
      <c r="G532" s="97"/>
      <c r="H532" s="278">
        <v>1.71</v>
      </c>
    </row>
    <row r="533" spans="2:8" x14ac:dyDescent="0.25">
      <c r="B533" s="112" t="s">
        <v>2908</v>
      </c>
      <c r="C533" s="257" t="s">
        <v>2945</v>
      </c>
      <c r="D533" s="257">
        <v>219</v>
      </c>
      <c r="E533" s="234">
        <v>10</v>
      </c>
      <c r="F533" s="234" t="s">
        <v>2783</v>
      </c>
      <c r="G533" s="234" t="s">
        <v>2969</v>
      </c>
      <c r="H533" s="279">
        <v>1.1399999999999999</v>
      </c>
    </row>
    <row r="534" spans="2:8" x14ac:dyDescent="0.25">
      <c r="B534" s="112" t="s">
        <v>2908</v>
      </c>
      <c r="C534" s="112" t="s">
        <v>210</v>
      </c>
      <c r="D534" s="6">
        <v>219</v>
      </c>
      <c r="E534" s="237">
        <v>11</v>
      </c>
      <c r="F534" s="234" t="s">
        <v>150</v>
      </c>
      <c r="G534" s="77" t="s">
        <v>16</v>
      </c>
      <c r="H534" s="272">
        <v>1.07</v>
      </c>
    </row>
    <row r="535" spans="2:8" x14ac:dyDescent="0.25">
      <c r="B535" s="112" t="s">
        <v>2908</v>
      </c>
      <c r="C535" s="112">
        <v>20</v>
      </c>
      <c r="D535" s="112">
        <v>219</v>
      </c>
      <c r="E535" s="112">
        <v>12</v>
      </c>
      <c r="F535" s="112" t="s">
        <v>2785</v>
      </c>
      <c r="G535" s="234"/>
      <c r="H535" s="202">
        <v>0.67</v>
      </c>
    </row>
    <row r="536" spans="2:8" x14ac:dyDescent="0.25">
      <c r="B536" s="112" t="s">
        <v>2908</v>
      </c>
      <c r="C536" s="55" t="s">
        <v>154</v>
      </c>
      <c r="D536" s="263">
        <v>219</v>
      </c>
      <c r="E536" s="263">
        <v>12</v>
      </c>
      <c r="F536" s="260" t="s">
        <v>150</v>
      </c>
      <c r="G536" s="234"/>
      <c r="H536" s="202">
        <f>0.38-0.122</f>
        <v>0.25800000000000001</v>
      </c>
    </row>
    <row r="537" spans="2:8" x14ac:dyDescent="0.25">
      <c r="B537" s="97" t="s">
        <v>3169</v>
      </c>
      <c r="C537" s="97">
        <v>20</v>
      </c>
      <c r="D537" s="97">
        <v>219</v>
      </c>
      <c r="E537" s="97">
        <v>13</v>
      </c>
      <c r="F537" s="287" t="s">
        <v>3459</v>
      </c>
      <c r="G537" s="287" t="s">
        <v>3460</v>
      </c>
      <c r="H537" s="129">
        <v>1.32</v>
      </c>
    </row>
    <row r="538" spans="2:8" x14ac:dyDescent="0.25">
      <c r="B538" s="112" t="s">
        <v>2908</v>
      </c>
      <c r="C538" s="97">
        <v>20</v>
      </c>
      <c r="D538" s="97">
        <v>219</v>
      </c>
      <c r="E538" s="97">
        <v>14</v>
      </c>
      <c r="F538" s="287" t="s">
        <v>2785</v>
      </c>
      <c r="G538" s="287" t="s">
        <v>3296</v>
      </c>
      <c r="H538" s="129">
        <v>0.495</v>
      </c>
    </row>
    <row r="539" spans="2:8" x14ac:dyDescent="0.25">
      <c r="B539" s="112" t="s">
        <v>2908</v>
      </c>
      <c r="C539" s="112" t="s">
        <v>2820</v>
      </c>
      <c r="D539" s="112">
        <v>219</v>
      </c>
      <c r="E539" s="112">
        <v>16</v>
      </c>
      <c r="F539" s="112" t="s">
        <v>2785</v>
      </c>
      <c r="G539" s="234">
        <v>7.23</v>
      </c>
      <c r="H539" s="202">
        <v>0.57899999999999996</v>
      </c>
    </row>
    <row r="540" spans="2:8" x14ac:dyDescent="0.2">
      <c r="B540" s="234" t="s">
        <v>3547</v>
      </c>
      <c r="C540" s="234" t="s">
        <v>215</v>
      </c>
      <c r="D540" s="234">
        <v>219</v>
      </c>
      <c r="E540" s="234">
        <v>16</v>
      </c>
      <c r="F540" s="234"/>
      <c r="G540" s="245" t="s">
        <v>2907</v>
      </c>
      <c r="H540" s="274">
        <v>4.75</v>
      </c>
    </row>
    <row r="541" spans="2:8" x14ac:dyDescent="0.25">
      <c r="B541" s="112" t="s">
        <v>2908</v>
      </c>
      <c r="C541" s="97" t="s">
        <v>215</v>
      </c>
      <c r="D541" s="97">
        <v>219</v>
      </c>
      <c r="E541" s="97">
        <v>16</v>
      </c>
      <c r="F541" s="97" t="s">
        <v>2926</v>
      </c>
      <c r="G541" s="97"/>
      <c r="H541" s="278">
        <v>12.82</v>
      </c>
    </row>
    <row r="542" spans="2:8" x14ac:dyDescent="0.25">
      <c r="B542" s="112" t="s">
        <v>2908</v>
      </c>
      <c r="C542" s="97" t="s">
        <v>215</v>
      </c>
      <c r="D542" s="97">
        <v>219</v>
      </c>
      <c r="E542" s="97">
        <v>16</v>
      </c>
      <c r="F542" s="97" t="s">
        <v>2785</v>
      </c>
      <c r="G542" s="97"/>
      <c r="H542" s="278">
        <v>8.0500000000000007</v>
      </c>
    </row>
    <row r="543" spans="2:8" x14ac:dyDescent="0.25">
      <c r="B543" s="112" t="s">
        <v>2908</v>
      </c>
      <c r="C543" s="97">
        <v>10</v>
      </c>
      <c r="D543" s="97">
        <v>219</v>
      </c>
      <c r="E543" s="97">
        <v>16</v>
      </c>
      <c r="F543" s="287" t="s">
        <v>2785</v>
      </c>
      <c r="G543" s="287" t="s">
        <v>3297</v>
      </c>
      <c r="H543" s="129">
        <v>0.42499999999999999</v>
      </c>
    </row>
    <row r="544" spans="2:8" x14ac:dyDescent="0.25">
      <c r="B544" s="112" t="s">
        <v>2908</v>
      </c>
      <c r="C544" s="97" t="s">
        <v>215</v>
      </c>
      <c r="D544" s="97">
        <v>219</v>
      </c>
      <c r="E544" s="97">
        <v>16</v>
      </c>
      <c r="F544" s="287" t="s">
        <v>3298</v>
      </c>
      <c r="G544" s="287" t="s">
        <v>3215</v>
      </c>
      <c r="H544" s="129">
        <v>3.665</v>
      </c>
    </row>
    <row r="545" spans="2:8" x14ac:dyDescent="0.25">
      <c r="B545" s="112" t="s">
        <v>2908</v>
      </c>
      <c r="C545" s="97">
        <v>20</v>
      </c>
      <c r="D545" s="97">
        <v>219</v>
      </c>
      <c r="E545" s="97">
        <v>16</v>
      </c>
      <c r="F545" s="287" t="s">
        <v>2785</v>
      </c>
      <c r="G545" s="287" t="s">
        <v>3299</v>
      </c>
      <c r="H545" s="129">
        <v>19.43</v>
      </c>
    </row>
    <row r="546" spans="2:8" x14ac:dyDescent="0.25">
      <c r="B546" s="112" t="s">
        <v>2908</v>
      </c>
      <c r="C546" s="97">
        <v>20</v>
      </c>
      <c r="D546" s="97">
        <v>219</v>
      </c>
      <c r="E546" s="97">
        <v>16</v>
      </c>
      <c r="F546" s="287" t="s">
        <v>2785</v>
      </c>
      <c r="G546" s="287" t="s">
        <v>3300</v>
      </c>
      <c r="H546" s="129">
        <v>0.92</v>
      </c>
    </row>
    <row r="547" spans="2:8" x14ac:dyDescent="0.25">
      <c r="B547" s="112" t="s">
        <v>2908</v>
      </c>
      <c r="C547" s="97" t="s">
        <v>3301</v>
      </c>
      <c r="D547" s="97">
        <v>219</v>
      </c>
      <c r="E547" s="97">
        <v>16</v>
      </c>
      <c r="F547" s="287" t="s">
        <v>3302</v>
      </c>
      <c r="G547" s="287" t="s">
        <v>3303</v>
      </c>
      <c r="H547" s="129">
        <v>92.41</v>
      </c>
    </row>
    <row r="548" spans="2:8" x14ac:dyDescent="0.25">
      <c r="B548" s="234" t="s">
        <v>3169</v>
      </c>
      <c r="C548" s="55" t="s">
        <v>2986</v>
      </c>
      <c r="D548" s="263">
        <v>219</v>
      </c>
      <c r="E548" s="263">
        <v>20</v>
      </c>
      <c r="F548" s="260" t="s">
        <v>229</v>
      </c>
      <c r="G548" s="234"/>
      <c r="H548" s="202">
        <v>0.55700000000000005</v>
      </c>
    </row>
    <row r="549" spans="2:8" x14ac:dyDescent="0.25">
      <c r="B549" s="112" t="s">
        <v>2908</v>
      </c>
      <c r="C549" s="97" t="s">
        <v>3304</v>
      </c>
      <c r="D549" s="97">
        <v>219</v>
      </c>
      <c r="E549" s="97">
        <v>20</v>
      </c>
      <c r="F549" s="287" t="s">
        <v>3305</v>
      </c>
      <c r="G549" s="287" t="s">
        <v>3306</v>
      </c>
      <c r="H549" s="129">
        <v>1.1399999999999999</v>
      </c>
    </row>
    <row r="550" spans="2:8" x14ac:dyDescent="0.25">
      <c r="B550" s="97" t="s">
        <v>3169</v>
      </c>
      <c r="C550" s="97" t="s">
        <v>314</v>
      </c>
      <c r="D550" s="97">
        <v>219</v>
      </c>
      <c r="E550" s="97">
        <v>25</v>
      </c>
      <c r="F550" s="287" t="s">
        <v>234</v>
      </c>
      <c r="G550" s="287" t="s">
        <v>3461</v>
      </c>
      <c r="H550" s="129">
        <v>2.1</v>
      </c>
    </row>
    <row r="551" spans="2:8" x14ac:dyDescent="0.25">
      <c r="B551" s="112" t="s">
        <v>2908</v>
      </c>
      <c r="C551" s="97" t="s">
        <v>3063</v>
      </c>
      <c r="D551" s="97">
        <v>219</v>
      </c>
      <c r="E551" s="97">
        <v>30</v>
      </c>
      <c r="F551" s="287" t="s">
        <v>2785</v>
      </c>
      <c r="G551" s="287" t="s">
        <v>3307</v>
      </c>
      <c r="H551" s="129">
        <v>1.51</v>
      </c>
    </row>
    <row r="552" spans="2:8" x14ac:dyDescent="0.25">
      <c r="B552" s="97" t="s">
        <v>3169</v>
      </c>
      <c r="C552" s="97" t="s">
        <v>314</v>
      </c>
      <c r="D552" s="97">
        <v>219</v>
      </c>
      <c r="E552" s="97">
        <v>30</v>
      </c>
      <c r="F552" s="287" t="s">
        <v>234</v>
      </c>
      <c r="G552" s="287" t="s">
        <v>3462</v>
      </c>
      <c r="H552" s="129">
        <v>2.86</v>
      </c>
    </row>
    <row r="553" spans="2:8" x14ac:dyDescent="0.25">
      <c r="B553" s="112" t="s">
        <v>2908</v>
      </c>
      <c r="C553" s="97" t="s">
        <v>3063</v>
      </c>
      <c r="D553" s="97">
        <v>219</v>
      </c>
      <c r="E553" s="97">
        <v>35</v>
      </c>
      <c r="F553" s="287" t="s">
        <v>2785</v>
      </c>
      <c r="G553" s="287" t="s">
        <v>3308</v>
      </c>
      <c r="H553" s="129">
        <v>75.265000000000001</v>
      </c>
    </row>
    <row r="554" spans="2:8" x14ac:dyDescent="0.25">
      <c r="B554" s="112" t="s">
        <v>2908</v>
      </c>
      <c r="C554" s="97" t="s">
        <v>3063</v>
      </c>
      <c r="D554" s="97">
        <v>219</v>
      </c>
      <c r="E554" s="97">
        <v>36</v>
      </c>
      <c r="F554" s="287" t="s">
        <v>2785</v>
      </c>
      <c r="G554" s="287" t="s">
        <v>3309</v>
      </c>
      <c r="H554" s="129">
        <v>1.73</v>
      </c>
    </row>
    <row r="555" spans="2:8" x14ac:dyDescent="0.25">
      <c r="B555" s="112" t="s">
        <v>2908</v>
      </c>
      <c r="C555" s="97" t="s">
        <v>3063</v>
      </c>
      <c r="D555" s="97">
        <v>219</v>
      </c>
      <c r="E555" s="97">
        <v>40</v>
      </c>
      <c r="F555" s="287" t="s">
        <v>2785</v>
      </c>
      <c r="G555" s="287" t="s">
        <v>3310</v>
      </c>
      <c r="H555" s="129">
        <v>4.915</v>
      </c>
    </row>
    <row r="556" spans="2:8" x14ac:dyDescent="0.25">
      <c r="B556" s="234" t="s">
        <v>202</v>
      </c>
      <c r="C556" s="112">
        <v>20</v>
      </c>
      <c r="D556" s="237">
        <v>219</v>
      </c>
      <c r="E556" s="24" t="s">
        <v>240</v>
      </c>
      <c r="F556" s="77" t="s">
        <v>225</v>
      </c>
      <c r="G556" s="77">
        <v>11.8</v>
      </c>
      <c r="H556" s="272">
        <v>0.94</v>
      </c>
    </row>
    <row r="557" spans="2:8" x14ac:dyDescent="0.25">
      <c r="B557" s="234" t="s">
        <v>202</v>
      </c>
      <c r="C557" s="112">
        <v>20</v>
      </c>
      <c r="D557" s="237">
        <v>219</v>
      </c>
      <c r="E557" s="24" t="s">
        <v>238</v>
      </c>
      <c r="F557" s="77" t="s">
        <v>225</v>
      </c>
      <c r="G557" s="77" t="s">
        <v>279</v>
      </c>
      <c r="H557" s="272">
        <v>4.1500000000000004</v>
      </c>
    </row>
    <row r="558" spans="2:8" x14ac:dyDescent="0.25">
      <c r="B558" s="187" t="s">
        <v>2901</v>
      </c>
      <c r="C558" s="234"/>
      <c r="D558" s="234">
        <v>219</v>
      </c>
      <c r="E558" s="65" t="s">
        <v>2903</v>
      </c>
      <c r="F558" s="244"/>
      <c r="G558" s="234"/>
      <c r="H558" s="274">
        <v>60</v>
      </c>
    </row>
    <row r="559" spans="2:8" x14ac:dyDescent="0.25">
      <c r="B559" s="234" t="s">
        <v>3169</v>
      </c>
      <c r="C559" s="55" t="s">
        <v>2987</v>
      </c>
      <c r="D559" s="263">
        <v>225</v>
      </c>
      <c r="E559" s="263">
        <v>90</v>
      </c>
      <c r="F559" s="260"/>
      <c r="G559" s="234"/>
      <c r="H559" s="202">
        <v>5.125</v>
      </c>
    </row>
    <row r="560" spans="2:8" x14ac:dyDescent="0.25">
      <c r="B560" s="112" t="s">
        <v>2908</v>
      </c>
      <c r="C560" s="106">
        <v>20</v>
      </c>
      <c r="D560" s="234">
        <v>245</v>
      </c>
      <c r="E560" s="234">
        <v>8</v>
      </c>
      <c r="F560" s="198" t="s">
        <v>2785</v>
      </c>
      <c r="G560" s="198" t="s">
        <v>2849</v>
      </c>
      <c r="H560" s="201">
        <v>1.7</v>
      </c>
    </row>
    <row r="561" spans="2:8" x14ac:dyDescent="0.2">
      <c r="B561" s="234" t="s">
        <v>3548</v>
      </c>
      <c r="C561" s="234"/>
      <c r="D561" s="234">
        <v>245</v>
      </c>
      <c r="E561" s="234">
        <v>13</v>
      </c>
      <c r="F561" s="234"/>
      <c r="G561" s="245" t="s">
        <v>2907</v>
      </c>
      <c r="H561" s="274">
        <v>60</v>
      </c>
    </row>
    <row r="562" spans="2:8" x14ac:dyDescent="0.25">
      <c r="B562" s="112" t="s">
        <v>2908</v>
      </c>
      <c r="C562" s="55" t="s">
        <v>2981</v>
      </c>
      <c r="D562" s="263">
        <v>245</v>
      </c>
      <c r="E562" s="263">
        <v>22</v>
      </c>
      <c r="F562" s="260" t="s">
        <v>150</v>
      </c>
      <c r="G562" s="234"/>
      <c r="H562" s="202">
        <v>0.48</v>
      </c>
    </row>
    <row r="563" spans="2:8" x14ac:dyDescent="0.25">
      <c r="B563" s="97" t="s">
        <v>3169</v>
      </c>
      <c r="C563" s="97" t="s">
        <v>314</v>
      </c>
      <c r="D563" s="97">
        <v>245</v>
      </c>
      <c r="E563" s="97">
        <v>28</v>
      </c>
      <c r="F563" s="287" t="s">
        <v>234</v>
      </c>
      <c r="G563" s="287" t="s">
        <v>3463</v>
      </c>
      <c r="H563" s="129">
        <v>1.9950000000000001</v>
      </c>
    </row>
    <row r="564" spans="2:8" x14ac:dyDescent="0.25">
      <c r="B564" s="112" t="s">
        <v>2908</v>
      </c>
      <c r="C564" s="55" t="s">
        <v>2982</v>
      </c>
      <c r="D564" s="263">
        <v>245</v>
      </c>
      <c r="E564" s="263">
        <v>36</v>
      </c>
      <c r="F564" s="260" t="s">
        <v>150</v>
      </c>
      <c r="G564" s="234"/>
      <c r="H564" s="202">
        <v>1.3360000000000001</v>
      </c>
    </row>
    <row r="565" spans="2:8" x14ac:dyDescent="0.25">
      <c r="B565" s="112" t="s">
        <v>2908</v>
      </c>
      <c r="C565" s="55" t="s">
        <v>2982</v>
      </c>
      <c r="D565" s="263">
        <v>245</v>
      </c>
      <c r="E565" s="263">
        <v>36</v>
      </c>
      <c r="F565" s="260" t="s">
        <v>150</v>
      </c>
      <c r="G565" s="234"/>
      <c r="H565" s="202">
        <f>1.968-0.87</f>
        <v>1.0979999999999999</v>
      </c>
    </row>
    <row r="566" spans="2:8" x14ac:dyDescent="0.25">
      <c r="B566" s="112" t="s">
        <v>2908</v>
      </c>
      <c r="C566" s="55" t="s">
        <v>2982</v>
      </c>
      <c r="D566" s="263">
        <v>245</v>
      </c>
      <c r="E566" s="263">
        <v>40</v>
      </c>
      <c r="F566" s="260" t="s">
        <v>150</v>
      </c>
      <c r="G566" s="234"/>
      <c r="H566" s="202">
        <f>1.635-0.21-1.18</f>
        <v>0.24500000000000011</v>
      </c>
    </row>
    <row r="567" spans="2:8" x14ac:dyDescent="0.25">
      <c r="B567" s="97" t="s">
        <v>3169</v>
      </c>
      <c r="C567" s="97" t="s">
        <v>314</v>
      </c>
      <c r="D567" s="97">
        <v>245</v>
      </c>
      <c r="E567" s="97">
        <v>45</v>
      </c>
      <c r="F567" s="287" t="s">
        <v>234</v>
      </c>
      <c r="G567" s="287" t="s">
        <v>3464</v>
      </c>
      <c r="H567" s="129">
        <v>3.4449999999999998</v>
      </c>
    </row>
    <row r="568" spans="2:8" x14ac:dyDescent="0.25">
      <c r="B568" s="234" t="s">
        <v>3169</v>
      </c>
      <c r="C568" s="55" t="s">
        <v>2988</v>
      </c>
      <c r="D568" s="263">
        <v>265</v>
      </c>
      <c r="E568" s="263">
        <v>45</v>
      </c>
      <c r="F568" s="260" t="s">
        <v>3003</v>
      </c>
      <c r="G568" s="234"/>
      <c r="H568" s="202">
        <v>3.61</v>
      </c>
    </row>
    <row r="569" spans="2:8" x14ac:dyDescent="0.2">
      <c r="B569" s="134" t="s">
        <v>3093</v>
      </c>
      <c r="C569" s="134" t="s">
        <v>249</v>
      </c>
      <c r="D569" s="134">
        <v>273</v>
      </c>
      <c r="E569" s="134">
        <v>4</v>
      </c>
      <c r="F569" s="22"/>
      <c r="G569" s="22" t="s">
        <v>3114</v>
      </c>
      <c r="H569" s="181">
        <v>0.315</v>
      </c>
    </row>
    <row r="570" spans="2:8" x14ac:dyDescent="0.25">
      <c r="B570" s="187" t="s">
        <v>202</v>
      </c>
      <c r="C570" s="112">
        <v>20</v>
      </c>
      <c r="D570" s="112">
        <v>273</v>
      </c>
      <c r="E570" s="112">
        <v>6</v>
      </c>
      <c r="F570" s="187" t="s">
        <v>2794</v>
      </c>
      <c r="G570" s="234" t="s">
        <v>2869</v>
      </c>
      <c r="H570" s="202">
        <v>0.69699999999999995</v>
      </c>
    </row>
    <row r="571" spans="2:8" x14ac:dyDescent="0.25">
      <c r="B571" s="112" t="s">
        <v>2908</v>
      </c>
      <c r="C571" s="112"/>
      <c r="D571" s="112">
        <v>273</v>
      </c>
      <c r="E571" s="112">
        <v>6</v>
      </c>
      <c r="F571" s="112" t="s">
        <v>2785</v>
      </c>
      <c r="G571" s="234" t="s">
        <v>2890</v>
      </c>
      <c r="H571" s="202">
        <v>1.4139999999999999</v>
      </c>
    </row>
    <row r="572" spans="2:8" x14ac:dyDescent="0.25">
      <c r="B572" s="112" t="s">
        <v>2908</v>
      </c>
      <c r="C572" s="112"/>
      <c r="D572" s="112">
        <v>273</v>
      </c>
      <c r="E572" s="112">
        <v>6</v>
      </c>
      <c r="F572" s="112" t="s">
        <v>2785</v>
      </c>
      <c r="G572" s="234">
        <v>8.16</v>
      </c>
      <c r="H572" s="202">
        <v>0.32200000000000001</v>
      </c>
    </row>
    <row r="573" spans="2:8" x14ac:dyDescent="0.2">
      <c r="B573" s="134" t="s">
        <v>202</v>
      </c>
      <c r="C573" s="134" t="s">
        <v>3063</v>
      </c>
      <c r="D573" s="134">
        <v>273</v>
      </c>
      <c r="E573" s="134">
        <v>6</v>
      </c>
      <c r="F573" s="22" t="s">
        <v>2794</v>
      </c>
      <c r="G573" s="22" t="s">
        <v>3064</v>
      </c>
      <c r="H573" s="181">
        <v>11.32</v>
      </c>
    </row>
    <row r="574" spans="2:8" x14ac:dyDescent="0.25">
      <c r="B574" s="112" t="s">
        <v>2908</v>
      </c>
      <c r="C574" s="106">
        <v>20</v>
      </c>
      <c r="D574" s="234">
        <v>273</v>
      </c>
      <c r="E574" s="234">
        <v>7</v>
      </c>
      <c r="F574" s="198" t="s">
        <v>2785</v>
      </c>
      <c r="G574" s="198">
        <v>12.28</v>
      </c>
      <c r="H574" s="201">
        <v>0.6</v>
      </c>
    </row>
    <row r="575" spans="2:8" x14ac:dyDescent="0.25">
      <c r="B575" s="112" t="s">
        <v>2908</v>
      </c>
      <c r="C575" s="234" t="s">
        <v>210</v>
      </c>
      <c r="D575" s="234">
        <v>273</v>
      </c>
      <c r="E575" s="234">
        <v>7</v>
      </c>
      <c r="F575" s="198" t="s">
        <v>2785</v>
      </c>
      <c r="G575" s="198">
        <v>10.63</v>
      </c>
      <c r="H575" s="201">
        <v>0.5</v>
      </c>
    </row>
    <row r="576" spans="2:8" x14ac:dyDescent="0.25">
      <c r="B576" s="112" t="s">
        <v>2908</v>
      </c>
      <c r="C576" s="112">
        <v>20</v>
      </c>
      <c r="D576" s="112">
        <v>273</v>
      </c>
      <c r="E576" s="112">
        <v>7</v>
      </c>
      <c r="F576" s="112" t="s">
        <v>2785</v>
      </c>
      <c r="G576" s="234"/>
      <c r="H576" s="202">
        <v>3.6549999999999998</v>
      </c>
    </row>
    <row r="577" spans="2:8" x14ac:dyDescent="0.25">
      <c r="B577" s="234" t="s">
        <v>2902</v>
      </c>
      <c r="C577" s="234"/>
      <c r="D577" s="234">
        <v>273</v>
      </c>
      <c r="E577" s="234">
        <v>7</v>
      </c>
      <c r="F577" s="244"/>
      <c r="G577" s="234"/>
      <c r="H577" s="274">
        <v>13.5</v>
      </c>
    </row>
    <row r="578" spans="2:8" x14ac:dyDescent="0.25">
      <c r="B578" s="97" t="s">
        <v>202</v>
      </c>
      <c r="C578" s="97">
        <v>20</v>
      </c>
      <c r="D578" s="97">
        <v>273</v>
      </c>
      <c r="E578" s="97">
        <v>7</v>
      </c>
      <c r="F578" s="97" t="s">
        <v>2910</v>
      </c>
      <c r="G578" s="97"/>
      <c r="H578" s="278">
        <v>2.64</v>
      </c>
    </row>
    <row r="579" spans="2:8" x14ac:dyDescent="0.25">
      <c r="B579" s="97" t="s">
        <v>202</v>
      </c>
      <c r="C579" s="97" t="s">
        <v>215</v>
      </c>
      <c r="D579" s="97">
        <v>273</v>
      </c>
      <c r="E579" s="97">
        <v>7</v>
      </c>
      <c r="F579" s="97" t="s">
        <v>2912</v>
      </c>
      <c r="G579" s="97"/>
      <c r="H579" s="278">
        <v>3.15</v>
      </c>
    </row>
    <row r="580" spans="2:8" x14ac:dyDescent="0.2">
      <c r="B580" s="134" t="s">
        <v>202</v>
      </c>
      <c r="C580" s="134" t="s">
        <v>210</v>
      </c>
      <c r="D580" s="134">
        <v>273</v>
      </c>
      <c r="E580" s="134">
        <v>7</v>
      </c>
      <c r="F580" s="22" t="s">
        <v>2910</v>
      </c>
      <c r="G580" s="22" t="s">
        <v>3065</v>
      </c>
      <c r="H580" s="181">
        <v>4.4050000000000002</v>
      </c>
    </row>
    <row r="581" spans="2:8" x14ac:dyDescent="0.25">
      <c r="B581" s="112" t="s">
        <v>2908</v>
      </c>
      <c r="C581" s="77" t="s">
        <v>214</v>
      </c>
      <c r="D581" s="6">
        <v>273</v>
      </c>
      <c r="E581" s="237">
        <v>8</v>
      </c>
      <c r="F581" s="77" t="s">
        <v>231</v>
      </c>
      <c r="G581" s="77" t="s">
        <v>17</v>
      </c>
      <c r="H581" s="272">
        <v>5.45</v>
      </c>
    </row>
    <row r="582" spans="2:8" x14ac:dyDescent="0.25">
      <c r="B582" s="112" t="s">
        <v>2908</v>
      </c>
      <c r="C582" s="234" t="s">
        <v>210</v>
      </c>
      <c r="D582" s="234">
        <v>273</v>
      </c>
      <c r="E582" s="234">
        <v>8</v>
      </c>
      <c r="F582" s="198" t="s">
        <v>2785</v>
      </c>
      <c r="G582" s="198" t="s">
        <v>2850</v>
      </c>
      <c r="H582" s="201">
        <v>1.83</v>
      </c>
    </row>
    <row r="583" spans="2:8" x14ac:dyDescent="0.2">
      <c r="B583" s="204" t="s">
        <v>202</v>
      </c>
      <c r="C583" s="234" t="s">
        <v>210</v>
      </c>
      <c r="D583" s="234">
        <v>273</v>
      </c>
      <c r="E583" s="106">
        <v>8</v>
      </c>
      <c r="F583" s="198" t="s">
        <v>257</v>
      </c>
      <c r="G583" s="86">
        <v>15</v>
      </c>
      <c r="H583" s="201">
        <v>28.26</v>
      </c>
    </row>
    <row r="584" spans="2:8" x14ac:dyDescent="0.25">
      <c r="B584" s="112" t="s">
        <v>2908</v>
      </c>
      <c r="C584" s="112">
        <v>20</v>
      </c>
      <c r="D584" s="112">
        <v>273</v>
      </c>
      <c r="E584" s="112">
        <v>8</v>
      </c>
      <c r="F584" s="112" t="s">
        <v>2785</v>
      </c>
      <c r="G584" s="234"/>
      <c r="H584" s="202">
        <v>7.149</v>
      </c>
    </row>
    <row r="585" spans="2:8" x14ac:dyDescent="0.25">
      <c r="B585" s="112" t="s">
        <v>2908</v>
      </c>
      <c r="C585" s="112">
        <v>20</v>
      </c>
      <c r="D585" s="112">
        <v>273</v>
      </c>
      <c r="E585" s="112">
        <v>8</v>
      </c>
      <c r="F585" s="112" t="s">
        <v>2785</v>
      </c>
      <c r="G585" s="234"/>
      <c r="H585" s="202">
        <v>107.6</v>
      </c>
    </row>
    <row r="586" spans="2:8" x14ac:dyDescent="0.25">
      <c r="B586" s="112" t="s">
        <v>2908</v>
      </c>
      <c r="C586" s="234">
        <v>10</v>
      </c>
      <c r="D586" s="234">
        <v>273</v>
      </c>
      <c r="E586" s="234">
        <v>8</v>
      </c>
      <c r="F586" s="112" t="s">
        <v>2785</v>
      </c>
      <c r="G586" s="234"/>
      <c r="H586" s="274">
        <v>16</v>
      </c>
    </row>
    <row r="587" spans="2:8" x14ac:dyDescent="0.25">
      <c r="B587" s="234" t="s">
        <v>2902</v>
      </c>
      <c r="C587" s="234"/>
      <c r="D587" s="234">
        <v>273</v>
      </c>
      <c r="E587" s="234">
        <v>8</v>
      </c>
      <c r="F587" s="244"/>
      <c r="G587" s="234"/>
      <c r="H587" s="274">
        <v>24</v>
      </c>
    </row>
    <row r="588" spans="2:8" x14ac:dyDescent="0.25">
      <c r="B588" s="187" t="s">
        <v>2901</v>
      </c>
      <c r="C588" s="234"/>
      <c r="D588" s="234">
        <v>273</v>
      </c>
      <c r="E588" s="234">
        <v>8</v>
      </c>
      <c r="F588" s="244"/>
      <c r="G588" s="234"/>
      <c r="H588" s="274">
        <v>6</v>
      </c>
    </row>
    <row r="589" spans="2:8" x14ac:dyDescent="0.2">
      <c r="B589" s="234" t="s">
        <v>3547</v>
      </c>
      <c r="C589" s="234" t="s">
        <v>214</v>
      </c>
      <c r="D589" s="234">
        <v>273</v>
      </c>
      <c r="E589" s="234">
        <v>8</v>
      </c>
      <c r="F589" s="234"/>
      <c r="G589" s="245" t="s">
        <v>2907</v>
      </c>
      <c r="H589" s="274">
        <v>20</v>
      </c>
    </row>
    <row r="590" spans="2:8" x14ac:dyDescent="0.25">
      <c r="B590" s="97" t="s">
        <v>202</v>
      </c>
      <c r="C590" s="97" t="s">
        <v>210</v>
      </c>
      <c r="D590" s="97">
        <v>273</v>
      </c>
      <c r="E590" s="97">
        <v>8</v>
      </c>
      <c r="F590" s="97" t="s">
        <v>2794</v>
      </c>
      <c r="G590" s="97"/>
      <c r="H590" s="278">
        <v>20.07</v>
      </c>
    </row>
    <row r="591" spans="2:8" x14ac:dyDescent="0.25">
      <c r="B591" s="97" t="s">
        <v>202</v>
      </c>
      <c r="C591" s="97">
        <v>20</v>
      </c>
      <c r="D591" s="97">
        <v>273</v>
      </c>
      <c r="E591" s="97">
        <v>8</v>
      </c>
      <c r="F591" s="97" t="s">
        <v>2910</v>
      </c>
      <c r="G591" s="97"/>
      <c r="H591" s="278">
        <v>5.5</v>
      </c>
    </row>
    <row r="592" spans="2:8" x14ac:dyDescent="0.25">
      <c r="B592" s="97" t="s">
        <v>202</v>
      </c>
      <c r="C592" s="97" t="s">
        <v>210</v>
      </c>
      <c r="D592" s="97">
        <v>273</v>
      </c>
      <c r="E592" s="97">
        <v>8</v>
      </c>
      <c r="F592" s="97" t="s">
        <v>2910</v>
      </c>
      <c r="G592" s="97"/>
      <c r="H592" s="278">
        <v>1.22</v>
      </c>
    </row>
    <row r="593" spans="2:8" x14ac:dyDescent="0.25">
      <c r="B593" s="112" t="s">
        <v>2908</v>
      </c>
      <c r="C593" s="257" t="s">
        <v>215</v>
      </c>
      <c r="D593" s="257">
        <v>273</v>
      </c>
      <c r="E593" s="234">
        <v>8</v>
      </c>
      <c r="F593" s="234" t="s">
        <v>2956</v>
      </c>
      <c r="G593" s="234"/>
      <c r="H593" s="279">
        <v>5.3979999999999997</v>
      </c>
    </row>
    <row r="594" spans="2:8" x14ac:dyDescent="0.25">
      <c r="B594" s="112" t="s">
        <v>2908</v>
      </c>
      <c r="C594" s="257" t="s">
        <v>214</v>
      </c>
      <c r="D594" s="257">
        <v>273</v>
      </c>
      <c r="E594" s="234">
        <v>8</v>
      </c>
      <c r="F594" s="234" t="s">
        <v>2959</v>
      </c>
      <c r="G594" s="234"/>
      <c r="H594" s="279">
        <v>3.472</v>
      </c>
    </row>
    <row r="595" spans="2:8" x14ac:dyDescent="0.25">
      <c r="B595" s="112" t="s">
        <v>2908</v>
      </c>
      <c r="C595" s="257" t="s">
        <v>215</v>
      </c>
      <c r="D595" s="257">
        <v>273</v>
      </c>
      <c r="E595" s="234">
        <v>8</v>
      </c>
      <c r="F595" s="234" t="s">
        <v>2783</v>
      </c>
      <c r="G595" s="234"/>
      <c r="H595" s="279">
        <v>1.228</v>
      </c>
    </row>
    <row r="596" spans="2:8" x14ac:dyDescent="0.2">
      <c r="B596" s="134" t="s">
        <v>202</v>
      </c>
      <c r="C596" s="134" t="s">
        <v>210</v>
      </c>
      <c r="D596" s="134">
        <v>273</v>
      </c>
      <c r="E596" s="134">
        <v>8</v>
      </c>
      <c r="F596" s="22" t="s">
        <v>2794</v>
      </c>
      <c r="G596" s="22" t="s">
        <v>3066</v>
      </c>
      <c r="H596" s="181">
        <v>25.984999999999999</v>
      </c>
    </row>
    <row r="597" spans="2:8" x14ac:dyDescent="0.2">
      <c r="B597" s="134" t="s">
        <v>202</v>
      </c>
      <c r="C597" s="134" t="s">
        <v>215</v>
      </c>
      <c r="D597" s="134">
        <v>273</v>
      </c>
      <c r="E597" s="134">
        <v>8</v>
      </c>
      <c r="F597" s="22" t="s">
        <v>2794</v>
      </c>
      <c r="G597" s="22" t="s">
        <v>3067</v>
      </c>
      <c r="H597" s="181">
        <v>1.84</v>
      </c>
    </row>
    <row r="598" spans="2:8" x14ac:dyDescent="0.25">
      <c r="B598" s="112" t="s">
        <v>2908</v>
      </c>
      <c r="C598" s="97">
        <v>20</v>
      </c>
      <c r="D598" s="97">
        <v>273</v>
      </c>
      <c r="E598" s="97">
        <v>8</v>
      </c>
      <c r="F598" s="287" t="s">
        <v>2785</v>
      </c>
      <c r="G598" s="287" t="s">
        <v>3311</v>
      </c>
      <c r="H598" s="129">
        <v>0.43</v>
      </c>
    </row>
    <row r="599" spans="2:8" x14ac:dyDescent="0.25">
      <c r="B599" s="112" t="s">
        <v>2908</v>
      </c>
      <c r="C599" s="234" t="s">
        <v>210</v>
      </c>
      <c r="D599" s="234">
        <v>273</v>
      </c>
      <c r="E599" s="234">
        <v>9</v>
      </c>
      <c r="F599" s="198" t="s">
        <v>2785</v>
      </c>
      <c r="G599" s="198">
        <v>9.56</v>
      </c>
      <c r="H599" s="201">
        <v>0.56999999999999995</v>
      </c>
    </row>
    <row r="600" spans="2:8" x14ac:dyDescent="0.25">
      <c r="B600" s="112" t="s">
        <v>2908</v>
      </c>
      <c r="C600" s="112">
        <v>20</v>
      </c>
      <c r="D600" s="112">
        <v>273</v>
      </c>
      <c r="E600" s="112">
        <v>9</v>
      </c>
      <c r="F600" s="112" t="s">
        <v>2785</v>
      </c>
      <c r="G600" s="234"/>
      <c r="H600" s="202">
        <v>1.595</v>
      </c>
    </row>
    <row r="601" spans="2:8" x14ac:dyDescent="0.25">
      <c r="B601" s="187" t="s">
        <v>2901</v>
      </c>
      <c r="C601" s="234"/>
      <c r="D601" s="234">
        <v>273</v>
      </c>
      <c r="E601" s="234">
        <v>9</v>
      </c>
      <c r="F601" s="244"/>
      <c r="G601" s="234"/>
      <c r="H601" s="274">
        <v>26</v>
      </c>
    </row>
    <row r="602" spans="2:8" x14ac:dyDescent="0.25">
      <c r="B602" s="112" t="s">
        <v>2908</v>
      </c>
      <c r="C602" s="55" t="s">
        <v>242</v>
      </c>
      <c r="D602" s="263">
        <v>273</v>
      </c>
      <c r="E602" s="263">
        <v>9</v>
      </c>
      <c r="F602" s="260" t="s">
        <v>150</v>
      </c>
      <c r="G602" s="234"/>
      <c r="H602" s="202">
        <f>1.131-0.08-0.127-0.087-0.123</f>
        <v>0.71399999999999997</v>
      </c>
    </row>
    <row r="603" spans="2:8" x14ac:dyDescent="0.25">
      <c r="B603" s="112" t="s">
        <v>2908</v>
      </c>
      <c r="C603" s="106">
        <v>20</v>
      </c>
      <c r="D603" s="234">
        <v>273</v>
      </c>
      <c r="E603" s="234">
        <v>10</v>
      </c>
      <c r="F603" s="198" t="s">
        <v>2785</v>
      </c>
      <c r="G603" s="198" t="s">
        <v>2851</v>
      </c>
      <c r="H603" s="201">
        <v>2.29</v>
      </c>
    </row>
    <row r="604" spans="2:8" x14ac:dyDescent="0.25">
      <c r="B604" s="112" t="s">
        <v>2908</v>
      </c>
      <c r="C604" s="234" t="s">
        <v>211</v>
      </c>
      <c r="D604" s="234">
        <v>273</v>
      </c>
      <c r="E604" s="106">
        <v>10</v>
      </c>
      <c r="F604" s="198" t="s">
        <v>230</v>
      </c>
      <c r="G604" s="198" t="s">
        <v>200</v>
      </c>
      <c r="H604" s="201">
        <v>18.09</v>
      </c>
    </row>
    <row r="605" spans="2:8" x14ac:dyDescent="0.25">
      <c r="B605" s="112" t="s">
        <v>2908</v>
      </c>
      <c r="C605" s="234" t="s">
        <v>210</v>
      </c>
      <c r="D605" s="234">
        <v>273</v>
      </c>
      <c r="E605" s="106">
        <v>10</v>
      </c>
      <c r="F605" s="198" t="s">
        <v>287</v>
      </c>
      <c r="G605" s="198" t="s">
        <v>2852</v>
      </c>
      <c r="H605" s="201">
        <v>82.006</v>
      </c>
    </row>
    <row r="606" spans="2:8" x14ac:dyDescent="0.25">
      <c r="B606" s="112" t="s">
        <v>2908</v>
      </c>
      <c r="C606" s="234" t="s">
        <v>215</v>
      </c>
      <c r="D606" s="234">
        <v>273</v>
      </c>
      <c r="E606" s="106">
        <v>10</v>
      </c>
      <c r="F606" s="198" t="s">
        <v>2785</v>
      </c>
      <c r="G606" s="198">
        <v>11.69</v>
      </c>
      <c r="H606" s="201">
        <v>0.78</v>
      </c>
    </row>
    <row r="607" spans="2:8" x14ac:dyDescent="0.25">
      <c r="B607" s="187" t="s">
        <v>202</v>
      </c>
      <c r="C607" s="112">
        <v>20</v>
      </c>
      <c r="D607" s="112">
        <v>273</v>
      </c>
      <c r="E607" s="112">
        <v>10</v>
      </c>
      <c r="F607" s="187" t="s">
        <v>2794</v>
      </c>
      <c r="G607" s="234">
        <v>11.62</v>
      </c>
      <c r="H607" s="202">
        <v>1.508</v>
      </c>
    </row>
    <row r="608" spans="2:8" x14ac:dyDescent="0.25">
      <c r="B608" s="112" t="s">
        <v>2908</v>
      </c>
      <c r="C608" s="187"/>
      <c r="D608" s="187">
        <v>273</v>
      </c>
      <c r="E608" s="187">
        <v>10</v>
      </c>
      <c r="F608" s="112" t="s">
        <v>2785</v>
      </c>
      <c r="G608" s="70">
        <v>11.1</v>
      </c>
      <c r="H608" s="202">
        <v>4.5460000000000003</v>
      </c>
    </row>
    <row r="609" spans="2:9" x14ac:dyDescent="0.25">
      <c r="B609" s="112" t="s">
        <v>2908</v>
      </c>
      <c r="C609" s="112">
        <v>20</v>
      </c>
      <c r="D609" s="112">
        <v>273</v>
      </c>
      <c r="E609" s="112">
        <v>10</v>
      </c>
      <c r="F609" s="112" t="s">
        <v>2785</v>
      </c>
      <c r="G609" s="234"/>
      <c r="H609" s="202">
        <v>11.161</v>
      </c>
    </row>
    <row r="610" spans="2:9" x14ac:dyDescent="0.25">
      <c r="B610" s="187" t="s">
        <v>2901</v>
      </c>
      <c r="C610" s="234"/>
      <c r="D610" s="234">
        <v>273</v>
      </c>
      <c r="E610" s="234">
        <v>10</v>
      </c>
      <c r="F610" s="244"/>
      <c r="G610" s="234"/>
      <c r="H610" s="274">
        <v>6</v>
      </c>
    </row>
    <row r="611" spans="2:9" x14ac:dyDescent="0.2">
      <c r="B611" s="234" t="s">
        <v>3547</v>
      </c>
      <c r="C611" s="234"/>
      <c r="D611" s="234">
        <v>273</v>
      </c>
      <c r="E611" s="234">
        <v>10</v>
      </c>
      <c r="F611" s="234"/>
      <c r="G611" s="245" t="s">
        <v>2907</v>
      </c>
      <c r="H611" s="274">
        <v>60</v>
      </c>
    </row>
    <row r="612" spans="2:9" x14ac:dyDescent="0.25">
      <c r="B612" s="112" t="s">
        <v>2908</v>
      </c>
      <c r="C612" s="257">
        <v>20</v>
      </c>
      <c r="D612" s="257">
        <v>273</v>
      </c>
      <c r="E612" s="234">
        <v>10</v>
      </c>
      <c r="F612" s="234" t="s">
        <v>2950</v>
      </c>
      <c r="G612" s="234"/>
      <c r="H612" s="279">
        <v>1.35</v>
      </c>
    </row>
    <row r="613" spans="2:9" x14ac:dyDescent="0.25">
      <c r="B613" s="234" t="s">
        <v>3169</v>
      </c>
      <c r="C613" s="55" t="s">
        <v>2930</v>
      </c>
      <c r="D613" s="263">
        <v>273</v>
      </c>
      <c r="E613" s="263">
        <v>10</v>
      </c>
      <c r="F613" s="260" t="s">
        <v>229</v>
      </c>
      <c r="G613" s="234"/>
      <c r="H613" s="202">
        <v>2.9060000000000001</v>
      </c>
    </row>
    <row r="614" spans="2:9" x14ac:dyDescent="0.25">
      <c r="B614" s="112" t="s">
        <v>2908</v>
      </c>
      <c r="C614" s="97">
        <v>10</v>
      </c>
      <c r="D614" s="97">
        <v>273</v>
      </c>
      <c r="E614" s="97">
        <v>10</v>
      </c>
      <c r="F614" s="287" t="s">
        <v>2785</v>
      </c>
      <c r="G614" s="287" t="s">
        <v>3312</v>
      </c>
      <c r="H614" s="129">
        <v>0.96</v>
      </c>
    </row>
    <row r="615" spans="2:9" x14ac:dyDescent="0.25">
      <c r="B615" s="112" t="s">
        <v>2908</v>
      </c>
      <c r="C615" s="97">
        <v>20</v>
      </c>
      <c r="D615" s="97">
        <v>273</v>
      </c>
      <c r="E615" s="97">
        <v>10</v>
      </c>
      <c r="F615" s="287" t="s">
        <v>2785</v>
      </c>
      <c r="G615" s="287" t="s">
        <v>3297</v>
      </c>
      <c r="H615" s="129">
        <v>0.38500000000000001</v>
      </c>
    </row>
    <row r="616" spans="2:9" x14ac:dyDescent="0.25">
      <c r="B616" s="112" t="s">
        <v>2908</v>
      </c>
      <c r="C616" s="97" t="s">
        <v>211</v>
      </c>
      <c r="D616" s="97">
        <v>273</v>
      </c>
      <c r="E616" s="97">
        <v>10</v>
      </c>
      <c r="F616" s="287" t="s">
        <v>230</v>
      </c>
      <c r="G616" s="287" t="s">
        <v>3313</v>
      </c>
      <c r="H616" s="129">
        <v>3.5649999999999999</v>
      </c>
      <c r="I616" s="33"/>
    </row>
    <row r="617" spans="2:9" x14ac:dyDescent="0.25">
      <c r="B617" s="97" t="s">
        <v>3169</v>
      </c>
      <c r="C617" s="97">
        <v>20</v>
      </c>
      <c r="D617" s="97">
        <v>273</v>
      </c>
      <c r="E617" s="97">
        <v>10</v>
      </c>
      <c r="F617" s="287" t="s">
        <v>3465</v>
      </c>
      <c r="G617" s="287" t="s">
        <v>3357</v>
      </c>
      <c r="H617" s="129">
        <v>0.48</v>
      </c>
      <c r="I617" s="33"/>
    </row>
    <row r="618" spans="2:9" x14ac:dyDescent="0.25">
      <c r="B618" s="112" t="s">
        <v>2908</v>
      </c>
      <c r="C618" s="55" t="s">
        <v>2981</v>
      </c>
      <c r="D618" s="263">
        <v>273</v>
      </c>
      <c r="E618" s="263">
        <v>11</v>
      </c>
      <c r="F618" s="260" t="s">
        <v>150</v>
      </c>
      <c r="G618" s="234"/>
      <c r="H618" s="202">
        <v>0.64</v>
      </c>
      <c r="I618" s="33"/>
    </row>
    <row r="619" spans="2:9" x14ac:dyDescent="0.25">
      <c r="B619" s="97" t="s">
        <v>3169</v>
      </c>
      <c r="C619" s="97">
        <v>20</v>
      </c>
      <c r="D619" s="97">
        <v>273</v>
      </c>
      <c r="E619" s="97">
        <v>11</v>
      </c>
      <c r="F619" s="287" t="s">
        <v>3459</v>
      </c>
      <c r="G619" s="287" t="s">
        <v>3466</v>
      </c>
      <c r="H619" s="129">
        <v>3.65</v>
      </c>
    </row>
    <row r="620" spans="2:9" x14ac:dyDescent="0.25">
      <c r="B620" s="112" t="s">
        <v>2908</v>
      </c>
      <c r="C620" s="234" t="s">
        <v>210</v>
      </c>
      <c r="D620" s="234">
        <v>273</v>
      </c>
      <c r="E620" s="234">
        <v>12</v>
      </c>
      <c r="F620" s="198" t="s">
        <v>2785</v>
      </c>
      <c r="G620" s="198" t="s">
        <v>2853</v>
      </c>
      <c r="H620" s="201">
        <v>1.86</v>
      </c>
    </row>
    <row r="621" spans="2:9" x14ac:dyDescent="0.25">
      <c r="B621" s="112" t="s">
        <v>2908</v>
      </c>
      <c r="C621" s="112" t="s">
        <v>210</v>
      </c>
      <c r="D621" s="112">
        <v>273</v>
      </c>
      <c r="E621" s="112">
        <v>12</v>
      </c>
      <c r="F621" s="112" t="s">
        <v>2785</v>
      </c>
      <c r="G621" s="234"/>
      <c r="H621" s="202">
        <v>1.7290000000000001</v>
      </c>
    </row>
    <row r="622" spans="2:9" x14ac:dyDescent="0.25">
      <c r="B622" s="112" t="s">
        <v>2908</v>
      </c>
      <c r="C622" s="112">
        <v>20</v>
      </c>
      <c r="D622" s="112">
        <v>273</v>
      </c>
      <c r="E622" s="112">
        <v>12</v>
      </c>
      <c r="F622" s="112" t="s">
        <v>2785</v>
      </c>
      <c r="G622" s="234" t="s">
        <v>2891</v>
      </c>
      <c r="H622" s="202">
        <f>1.578+1.794</f>
        <v>3.3719999999999999</v>
      </c>
    </row>
    <row r="623" spans="2:9" x14ac:dyDescent="0.25">
      <c r="B623" s="112" t="s">
        <v>2908</v>
      </c>
      <c r="C623" s="55" t="s">
        <v>2985</v>
      </c>
      <c r="D623" s="263">
        <v>273</v>
      </c>
      <c r="E623" s="263">
        <v>12</v>
      </c>
      <c r="F623" s="260" t="s">
        <v>234</v>
      </c>
      <c r="G623" s="234"/>
      <c r="H623" s="202">
        <v>0.33500000000000002</v>
      </c>
    </row>
    <row r="624" spans="2:9" x14ac:dyDescent="0.25">
      <c r="B624" s="112" t="s">
        <v>2908</v>
      </c>
      <c r="C624" s="97" t="s">
        <v>210</v>
      </c>
      <c r="D624" s="97">
        <v>273</v>
      </c>
      <c r="E624" s="97">
        <v>12</v>
      </c>
      <c r="F624" s="287" t="s">
        <v>2785</v>
      </c>
      <c r="G624" s="287" t="s">
        <v>3314</v>
      </c>
      <c r="H624" s="129">
        <v>4.9850000000000003</v>
      </c>
    </row>
    <row r="625" spans="2:8" x14ac:dyDescent="0.25">
      <c r="B625" s="112" t="s">
        <v>2908</v>
      </c>
      <c r="C625" s="97" t="s">
        <v>216</v>
      </c>
      <c r="D625" s="97">
        <v>273</v>
      </c>
      <c r="E625" s="97">
        <v>12</v>
      </c>
      <c r="F625" s="287" t="s">
        <v>2785</v>
      </c>
      <c r="G625" s="287" t="s">
        <v>3315</v>
      </c>
      <c r="H625" s="129">
        <v>3.77</v>
      </c>
    </row>
    <row r="626" spans="2:8" x14ac:dyDescent="0.25">
      <c r="B626" s="112" t="s">
        <v>2908</v>
      </c>
      <c r="C626" s="97" t="s">
        <v>210</v>
      </c>
      <c r="D626" s="97">
        <v>273</v>
      </c>
      <c r="E626" s="97">
        <v>13</v>
      </c>
      <c r="F626" s="287" t="s">
        <v>3316</v>
      </c>
      <c r="G626" s="287" t="s">
        <v>3317</v>
      </c>
      <c r="H626" s="129">
        <v>11.55</v>
      </c>
    </row>
    <row r="627" spans="2:8" x14ac:dyDescent="0.25">
      <c r="B627" s="112" t="s">
        <v>2908</v>
      </c>
      <c r="C627" s="234" t="s">
        <v>210</v>
      </c>
      <c r="D627" s="234">
        <v>273</v>
      </c>
      <c r="E627" s="234">
        <v>14</v>
      </c>
      <c r="F627" s="198" t="s">
        <v>2785</v>
      </c>
      <c r="G627" s="198" t="s">
        <v>2854</v>
      </c>
      <c r="H627" s="201">
        <v>1.88</v>
      </c>
    </row>
    <row r="628" spans="2:8" x14ac:dyDescent="0.25">
      <c r="B628" s="112" t="s">
        <v>2908</v>
      </c>
      <c r="C628" s="100"/>
      <c r="D628" s="100">
        <v>273</v>
      </c>
      <c r="E628" s="100">
        <v>16</v>
      </c>
      <c r="F628" s="112" t="s">
        <v>2785</v>
      </c>
      <c r="G628" s="70">
        <v>9.4</v>
      </c>
      <c r="H628" s="202">
        <v>0.95299999999999996</v>
      </c>
    </row>
    <row r="629" spans="2:8" x14ac:dyDescent="0.2">
      <c r="B629" s="234" t="s">
        <v>3547</v>
      </c>
      <c r="C629" s="234" t="s">
        <v>215</v>
      </c>
      <c r="D629" s="234">
        <v>273</v>
      </c>
      <c r="E629" s="234">
        <v>16</v>
      </c>
      <c r="F629" s="234"/>
      <c r="G629" s="245" t="s">
        <v>2907</v>
      </c>
      <c r="H629" s="274">
        <v>5.5</v>
      </c>
    </row>
    <row r="630" spans="2:8" x14ac:dyDescent="0.25">
      <c r="B630" s="112" t="s">
        <v>2908</v>
      </c>
      <c r="C630" s="55" t="s">
        <v>2981</v>
      </c>
      <c r="D630" s="263">
        <v>273</v>
      </c>
      <c r="E630" s="263">
        <v>16</v>
      </c>
      <c r="F630" s="260" t="s">
        <v>150</v>
      </c>
      <c r="G630" s="234"/>
      <c r="H630" s="202">
        <v>0.47</v>
      </c>
    </row>
    <row r="631" spans="2:8" x14ac:dyDescent="0.25">
      <c r="B631" s="112" t="s">
        <v>2908</v>
      </c>
      <c r="C631" s="97">
        <v>20</v>
      </c>
      <c r="D631" s="97">
        <v>273</v>
      </c>
      <c r="E631" s="97">
        <v>16</v>
      </c>
      <c r="F631" s="287" t="s">
        <v>2785</v>
      </c>
      <c r="G631" s="287" t="s">
        <v>3318</v>
      </c>
      <c r="H631" s="129">
        <v>4.4800000000000004</v>
      </c>
    </row>
    <row r="632" spans="2:8" x14ac:dyDescent="0.25">
      <c r="B632" s="234" t="s">
        <v>3169</v>
      </c>
      <c r="C632" s="55" t="s">
        <v>2928</v>
      </c>
      <c r="D632" s="263">
        <v>273</v>
      </c>
      <c r="E632" s="263">
        <v>18</v>
      </c>
      <c r="F632" s="260" t="s">
        <v>3003</v>
      </c>
      <c r="G632" s="234"/>
      <c r="H632" s="202">
        <v>0.749</v>
      </c>
    </row>
    <row r="633" spans="2:8" x14ac:dyDescent="0.25">
      <c r="B633" s="112" t="s">
        <v>2908</v>
      </c>
      <c r="C633" s="97" t="s">
        <v>213</v>
      </c>
      <c r="D633" s="97">
        <v>273</v>
      </c>
      <c r="E633" s="97">
        <v>18</v>
      </c>
      <c r="F633" s="287" t="s">
        <v>2785</v>
      </c>
      <c r="G633" s="287" t="s">
        <v>3082</v>
      </c>
      <c r="H633" s="129">
        <v>1.32</v>
      </c>
    </row>
    <row r="634" spans="2:8" x14ac:dyDescent="0.2">
      <c r="B634" s="234" t="s">
        <v>3547</v>
      </c>
      <c r="C634" s="234" t="s">
        <v>215</v>
      </c>
      <c r="D634" s="234">
        <v>273</v>
      </c>
      <c r="E634" s="234">
        <v>20</v>
      </c>
      <c r="F634" s="234"/>
      <c r="G634" s="245" t="s">
        <v>2907</v>
      </c>
      <c r="H634" s="274">
        <v>22</v>
      </c>
    </row>
    <row r="635" spans="2:8" x14ac:dyDescent="0.25">
      <c r="B635" s="234" t="s">
        <v>3169</v>
      </c>
      <c r="C635" s="55" t="s">
        <v>2985</v>
      </c>
      <c r="D635" s="263">
        <v>273</v>
      </c>
      <c r="E635" s="263">
        <v>20</v>
      </c>
      <c r="F635" s="260" t="s">
        <v>3003</v>
      </c>
      <c r="G635" s="234"/>
      <c r="H635" s="202">
        <f>2.145-0.711</f>
        <v>1.4340000000000002</v>
      </c>
    </row>
    <row r="636" spans="2:8" x14ac:dyDescent="0.25">
      <c r="B636" s="234" t="s">
        <v>3169</v>
      </c>
      <c r="C636" s="55" t="s">
        <v>2928</v>
      </c>
      <c r="D636" s="263">
        <v>273</v>
      </c>
      <c r="E636" s="263">
        <v>20</v>
      </c>
      <c r="F636" s="260" t="s">
        <v>3003</v>
      </c>
      <c r="G636" s="234"/>
      <c r="H636" s="202">
        <f>1.828</f>
        <v>1.8280000000000001</v>
      </c>
    </row>
    <row r="637" spans="2:8" x14ac:dyDescent="0.25">
      <c r="B637" s="112" t="s">
        <v>2908</v>
      </c>
      <c r="C637" s="97" t="s">
        <v>210</v>
      </c>
      <c r="D637" s="97">
        <v>273</v>
      </c>
      <c r="E637" s="97">
        <v>20</v>
      </c>
      <c r="F637" s="287" t="s">
        <v>3316</v>
      </c>
      <c r="G637" s="287" t="s">
        <v>3319</v>
      </c>
      <c r="H637" s="129">
        <v>2.9750000000000001</v>
      </c>
    </row>
    <row r="638" spans="2:8" x14ac:dyDescent="0.25">
      <c r="B638" s="97" t="s">
        <v>3169</v>
      </c>
      <c r="C638" s="97" t="s">
        <v>314</v>
      </c>
      <c r="D638" s="97">
        <v>273</v>
      </c>
      <c r="E638" s="97">
        <v>20</v>
      </c>
      <c r="F638" s="287" t="s">
        <v>234</v>
      </c>
      <c r="G638" s="287" t="s">
        <v>3467</v>
      </c>
      <c r="H638" s="129">
        <v>2.92</v>
      </c>
    </row>
    <row r="639" spans="2:8" x14ac:dyDescent="0.25">
      <c r="B639" s="97" t="s">
        <v>3169</v>
      </c>
      <c r="C639" s="97" t="s">
        <v>312</v>
      </c>
      <c r="D639" s="97">
        <v>273</v>
      </c>
      <c r="E639" s="97">
        <v>20</v>
      </c>
      <c r="F639" s="287" t="s">
        <v>234</v>
      </c>
      <c r="G639" s="287" t="s">
        <v>3468</v>
      </c>
      <c r="H639" s="129">
        <v>1.83</v>
      </c>
    </row>
    <row r="640" spans="2:8" x14ac:dyDescent="0.25">
      <c r="B640" s="97" t="s">
        <v>3169</v>
      </c>
      <c r="C640" s="97">
        <v>20</v>
      </c>
      <c r="D640" s="97">
        <v>273</v>
      </c>
      <c r="E640" s="97">
        <v>20</v>
      </c>
      <c r="F640" s="287" t="s">
        <v>3459</v>
      </c>
      <c r="G640" s="287" t="s">
        <v>3469</v>
      </c>
      <c r="H640" s="129">
        <v>5.7</v>
      </c>
    </row>
    <row r="641" spans="2:8" x14ac:dyDescent="0.25">
      <c r="B641" s="97" t="s">
        <v>3169</v>
      </c>
      <c r="C641" s="97">
        <v>20</v>
      </c>
      <c r="D641" s="97">
        <v>273</v>
      </c>
      <c r="E641" s="97">
        <v>20</v>
      </c>
      <c r="F641" s="287" t="s">
        <v>234</v>
      </c>
      <c r="G641" s="287" t="s">
        <v>3470</v>
      </c>
      <c r="H641" s="129">
        <v>1.35</v>
      </c>
    </row>
    <row r="642" spans="2:8" x14ac:dyDescent="0.25">
      <c r="B642" s="112" t="s">
        <v>2908</v>
      </c>
      <c r="C642" s="97"/>
      <c r="D642" s="97">
        <v>273</v>
      </c>
      <c r="E642" s="97">
        <v>22</v>
      </c>
      <c r="F642" s="97" t="s">
        <v>2785</v>
      </c>
      <c r="G642" s="97"/>
      <c r="H642" s="278">
        <v>2.93</v>
      </c>
    </row>
    <row r="643" spans="2:8" x14ac:dyDescent="0.25">
      <c r="B643" s="234" t="s">
        <v>3169</v>
      </c>
      <c r="C643" s="55" t="s">
        <v>2928</v>
      </c>
      <c r="D643" s="263">
        <v>273</v>
      </c>
      <c r="E643" s="263">
        <v>22</v>
      </c>
      <c r="F643" s="260" t="s">
        <v>3003</v>
      </c>
      <c r="G643" s="234"/>
      <c r="H643" s="202">
        <f>10.468-4.435-0.788-0.79</f>
        <v>4.4550000000000001</v>
      </c>
    </row>
    <row r="644" spans="2:8" x14ac:dyDescent="0.25">
      <c r="B644" s="234" t="s">
        <v>3169</v>
      </c>
      <c r="C644" s="55" t="s">
        <v>2928</v>
      </c>
      <c r="D644" s="263">
        <v>273</v>
      </c>
      <c r="E644" s="263">
        <v>22</v>
      </c>
      <c r="F644" s="260" t="s">
        <v>3003</v>
      </c>
      <c r="G644" s="234"/>
      <c r="H644" s="202">
        <v>0.873</v>
      </c>
    </row>
    <row r="645" spans="2:8" x14ac:dyDescent="0.25">
      <c r="B645" s="234" t="s">
        <v>3169</v>
      </c>
      <c r="C645" s="55" t="s">
        <v>2928</v>
      </c>
      <c r="D645" s="263">
        <v>273</v>
      </c>
      <c r="E645" s="263">
        <v>22</v>
      </c>
      <c r="F645" s="260" t="s">
        <v>3003</v>
      </c>
      <c r="G645" s="234"/>
      <c r="H645" s="202">
        <v>1.8640000000000001</v>
      </c>
    </row>
    <row r="646" spans="2:8" x14ac:dyDescent="0.25">
      <c r="B646" s="112" t="s">
        <v>2908</v>
      </c>
      <c r="C646" s="97" t="s">
        <v>210</v>
      </c>
      <c r="D646" s="97">
        <v>273</v>
      </c>
      <c r="E646" s="97">
        <v>24</v>
      </c>
      <c r="F646" s="287" t="s">
        <v>287</v>
      </c>
      <c r="G646" s="287" t="s">
        <v>3320</v>
      </c>
      <c r="H646" s="129">
        <v>5.5449999999999999</v>
      </c>
    </row>
    <row r="647" spans="2:8" x14ac:dyDescent="0.25">
      <c r="B647" s="112" t="s">
        <v>2908</v>
      </c>
      <c r="C647" s="97" t="s">
        <v>3063</v>
      </c>
      <c r="D647" s="97">
        <v>273</v>
      </c>
      <c r="E647" s="97">
        <v>24</v>
      </c>
      <c r="F647" s="287" t="s">
        <v>2785</v>
      </c>
      <c r="G647" s="287" t="s">
        <v>3321</v>
      </c>
      <c r="H647" s="129">
        <v>1.75</v>
      </c>
    </row>
    <row r="648" spans="2:8" x14ac:dyDescent="0.25">
      <c r="B648" s="112" t="s">
        <v>2908</v>
      </c>
      <c r="C648" s="97" t="s">
        <v>3322</v>
      </c>
      <c r="D648" s="97">
        <v>273</v>
      </c>
      <c r="E648" s="97">
        <v>24</v>
      </c>
      <c r="F648" s="287" t="s">
        <v>2785</v>
      </c>
      <c r="G648" s="287" t="s">
        <v>3323</v>
      </c>
      <c r="H648" s="129">
        <v>12.32</v>
      </c>
    </row>
    <row r="649" spans="2:8" x14ac:dyDescent="0.25">
      <c r="B649" s="112" t="s">
        <v>2908</v>
      </c>
      <c r="C649" s="97" t="s">
        <v>3322</v>
      </c>
      <c r="D649" s="97">
        <v>273</v>
      </c>
      <c r="E649" s="97">
        <v>24</v>
      </c>
      <c r="F649" s="287" t="s">
        <v>2785</v>
      </c>
      <c r="G649" s="287" t="s">
        <v>3324</v>
      </c>
      <c r="H649" s="129">
        <v>2.5449999999999999</v>
      </c>
    </row>
    <row r="650" spans="2:8" x14ac:dyDescent="0.25">
      <c r="B650" s="97" t="s">
        <v>3169</v>
      </c>
      <c r="C650" s="97" t="s">
        <v>312</v>
      </c>
      <c r="D650" s="97">
        <v>273</v>
      </c>
      <c r="E650" s="97">
        <v>24</v>
      </c>
      <c r="F650" s="287" t="s">
        <v>234</v>
      </c>
      <c r="G650" s="287" t="s">
        <v>3471</v>
      </c>
      <c r="H650" s="129">
        <v>0.87</v>
      </c>
    </row>
    <row r="651" spans="2:8" x14ac:dyDescent="0.25">
      <c r="B651" s="112" t="s">
        <v>2908</v>
      </c>
      <c r="C651" s="97" t="s">
        <v>210</v>
      </c>
      <c r="D651" s="97">
        <v>273</v>
      </c>
      <c r="E651" s="97">
        <v>25</v>
      </c>
      <c r="F651" s="287" t="s">
        <v>2785</v>
      </c>
      <c r="G651" s="287" t="s">
        <v>3325</v>
      </c>
      <c r="H651" s="129">
        <v>2.7549999999999999</v>
      </c>
    </row>
    <row r="652" spans="2:8" x14ac:dyDescent="0.25">
      <c r="B652" s="112" t="s">
        <v>2908</v>
      </c>
      <c r="C652" s="97" t="s">
        <v>210</v>
      </c>
      <c r="D652" s="97">
        <v>273</v>
      </c>
      <c r="E652" s="97">
        <v>25</v>
      </c>
      <c r="F652" s="287" t="s">
        <v>2785</v>
      </c>
      <c r="G652" s="287" t="s">
        <v>3326</v>
      </c>
      <c r="H652" s="129">
        <v>1.39</v>
      </c>
    </row>
    <row r="653" spans="2:8" x14ac:dyDescent="0.25">
      <c r="B653" s="112" t="s">
        <v>2908</v>
      </c>
      <c r="C653" s="97" t="s">
        <v>3322</v>
      </c>
      <c r="D653" s="97">
        <v>273</v>
      </c>
      <c r="E653" s="97">
        <v>25</v>
      </c>
      <c r="F653" s="287" t="s">
        <v>2785</v>
      </c>
      <c r="G653" s="287" t="s">
        <v>3327</v>
      </c>
      <c r="H653" s="129">
        <v>1.8049999999999999</v>
      </c>
    </row>
    <row r="654" spans="2:8" x14ac:dyDescent="0.25">
      <c r="B654" s="112" t="s">
        <v>2908</v>
      </c>
      <c r="C654" s="55" t="s">
        <v>656</v>
      </c>
      <c r="D654" s="263">
        <v>273</v>
      </c>
      <c r="E654" s="263">
        <v>26</v>
      </c>
      <c r="F654" s="260" t="s">
        <v>150</v>
      </c>
      <c r="G654" s="234"/>
      <c r="H654" s="202">
        <v>0.28699999999999998</v>
      </c>
    </row>
    <row r="655" spans="2:8" x14ac:dyDescent="0.25">
      <c r="B655" s="112" t="s">
        <v>2908</v>
      </c>
      <c r="C655" s="97" t="s">
        <v>210</v>
      </c>
      <c r="D655" s="97">
        <v>273</v>
      </c>
      <c r="E655" s="97">
        <v>26</v>
      </c>
      <c r="F655" s="287" t="s">
        <v>2785</v>
      </c>
      <c r="G655" s="287" t="s">
        <v>3328</v>
      </c>
      <c r="H655" s="129">
        <v>1.44</v>
      </c>
    </row>
    <row r="656" spans="2:8" x14ac:dyDescent="0.25">
      <c r="B656" s="112" t="s">
        <v>2908</v>
      </c>
      <c r="C656" s="97" t="s">
        <v>3063</v>
      </c>
      <c r="D656" s="97">
        <v>273</v>
      </c>
      <c r="E656" s="97">
        <v>28</v>
      </c>
      <c r="F656" s="287" t="s">
        <v>2785</v>
      </c>
      <c r="G656" s="287" t="s">
        <v>3329</v>
      </c>
      <c r="H656" s="129">
        <v>1.54</v>
      </c>
    </row>
    <row r="657" spans="2:8" x14ac:dyDescent="0.25">
      <c r="B657" s="112" t="s">
        <v>2908</v>
      </c>
      <c r="C657" s="97" t="s">
        <v>3063</v>
      </c>
      <c r="D657" s="97">
        <v>273</v>
      </c>
      <c r="E657" s="97">
        <v>28</v>
      </c>
      <c r="F657" s="287" t="s">
        <v>2785</v>
      </c>
      <c r="G657" s="287" t="s">
        <v>3330</v>
      </c>
      <c r="H657" s="129">
        <v>3.2</v>
      </c>
    </row>
    <row r="658" spans="2:8" x14ac:dyDescent="0.25">
      <c r="B658" s="97" t="s">
        <v>3169</v>
      </c>
      <c r="C658" s="97" t="s">
        <v>3451</v>
      </c>
      <c r="D658" s="97">
        <v>273</v>
      </c>
      <c r="E658" s="97">
        <v>28</v>
      </c>
      <c r="F658" s="287" t="s">
        <v>234</v>
      </c>
      <c r="G658" s="287" t="s">
        <v>3472</v>
      </c>
      <c r="H658" s="129">
        <v>1.17</v>
      </c>
    </row>
    <row r="659" spans="2:8" x14ac:dyDescent="0.25">
      <c r="B659" s="234" t="s">
        <v>3169</v>
      </c>
      <c r="C659" s="55" t="s">
        <v>2928</v>
      </c>
      <c r="D659" s="125">
        <v>273</v>
      </c>
      <c r="E659" s="125">
        <v>30</v>
      </c>
      <c r="F659" s="260" t="s">
        <v>3003</v>
      </c>
      <c r="G659" s="234"/>
      <c r="H659" s="202">
        <v>0.58399999999999996</v>
      </c>
    </row>
    <row r="660" spans="2:8" x14ac:dyDescent="0.25">
      <c r="B660" s="234" t="s">
        <v>3169</v>
      </c>
      <c r="C660" s="55" t="s">
        <v>2928</v>
      </c>
      <c r="D660" s="125">
        <v>273</v>
      </c>
      <c r="E660" s="125">
        <v>30</v>
      </c>
      <c r="F660" s="260" t="s">
        <v>3003</v>
      </c>
      <c r="G660" s="234"/>
      <c r="H660" s="202">
        <v>0.54200000000000004</v>
      </c>
    </row>
    <row r="661" spans="2:8" x14ac:dyDescent="0.25">
      <c r="B661" s="112" t="s">
        <v>2908</v>
      </c>
      <c r="C661" s="97" t="s">
        <v>3063</v>
      </c>
      <c r="D661" s="97">
        <v>273</v>
      </c>
      <c r="E661" s="97">
        <v>30</v>
      </c>
      <c r="F661" s="287" t="s">
        <v>2785</v>
      </c>
      <c r="G661" s="287" t="s">
        <v>3331</v>
      </c>
      <c r="H661" s="129">
        <v>3.36</v>
      </c>
    </row>
    <row r="662" spans="2:8" x14ac:dyDescent="0.25">
      <c r="B662" s="112" t="s">
        <v>2908</v>
      </c>
      <c r="C662" s="97" t="s">
        <v>3063</v>
      </c>
      <c r="D662" s="97">
        <v>273</v>
      </c>
      <c r="E662" s="97">
        <v>30</v>
      </c>
      <c r="F662" s="287" t="s">
        <v>2785</v>
      </c>
      <c r="G662" s="287" t="s">
        <v>3332</v>
      </c>
      <c r="H662" s="129">
        <v>1</v>
      </c>
    </row>
    <row r="663" spans="2:8" x14ac:dyDescent="0.25">
      <c r="B663" s="234" t="s">
        <v>3169</v>
      </c>
      <c r="C663" s="55" t="s">
        <v>2988</v>
      </c>
      <c r="D663" s="125">
        <v>273</v>
      </c>
      <c r="E663" s="125">
        <v>32</v>
      </c>
      <c r="F663" s="260" t="s">
        <v>3003</v>
      </c>
      <c r="G663" s="234"/>
      <c r="H663" s="256">
        <v>2.9740000000000002</v>
      </c>
    </row>
    <row r="664" spans="2:8" x14ac:dyDescent="0.25">
      <c r="B664" s="234" t="s">
        <v>3169</v>
      </c>
      <c r="C664" s="55" t="s">
        <v>2988</v>
      </c>
      <c r="D664" s="263">
        <v>273</v>
      </c>
      <c r="E664" s="263">
        <v>32</v>
      </c>
      <c r="F664" s="260" t="s">
        <v>3003</v>
      </c>
      <c r="G664" s="234"/>
      <c r="H664" s="202">
        <v>0.60799999999999998</v>
      </c>
    </row>
    <row r="665" spans="2:8" x14ac:dyDescent="0.25">
      <c r="B665" s="234" t="s">
        <v>3169</v>
      </c>
      <c r="C665" s="55" t="s">
        <v>2928</v>
      </c>
      <c r="D665" s="263">
        <v>273</v>
      </c>
      <c r="E665" s="263">
        <v>32</v>
      </c>
      <c r="F665" s="260" t="s">
        <v>3003</v>
      </c>
      <c r="G665" s="234"/>
      <c r="H665" s="202">
        <v>1.0900000000000001</v>
      </c>
    </row>
    <row r="666" spans="2:8" x14ac:dyDescent="0.25">
      <c r="B666" s="97" t="s">
        <v>3169</v>
      </c>
      <c r="C666" s="97" t="s">
        <v>314</v>
      </c>
      <c r="D666" s="97">
        <v>273</v>
      </c>
      <c r="E666" s="97">
        <v>32</v>
      </c>
      <c r="F666" s="287" t="s">
        <v>234</v>
      </c>
      <c r="G666" s="287" t="s">
        <v>3473</v>
      </c>
      <c r="H666" s="129">
        <v>4.3710000000000004</v>
      </c>
    </row>
    <row r="667" spans="2:8" x14ac:dyDescent="0.25">
      <c r="B667" s="97" t="s">
        <v>3169</v>
      </c>
      <c r="C667" s="97" t="s">
        <v>315</v>
      </c>
      <c r="D667" s="97">
        <v>273</v>
      </c>
      <c r="E667" s="97">
        <v>32</v>
      </c>
      <c r="F667" s="287" t="s">
        <v>234</v>
      </c>
      <c r="G667" s="287" t="s">
        <v>3474</v>
      </c>
      <c r="H667" s="129">
        <v>5.0049999999999999</v>
      </c>
    </row>
    <row r="668" spans="2:8" x14ac:dyDescent="0.25">
      <c r="B668" s="97" t="s">
        <v>3169</v>
      </c>
      <c r="C668" s="97" t="s">
        <v>314</v>
      </c>
      <c r="D668" s="97">
        <v>273</v>
      </c>
      <c r="E668" s="97">
        <v>34</v>
      </c>
      <c r="F668" s="287" t="s">
        <v>234</v>
      </c>
      <c r="G668" s="287" t="s">
        <v>3475</v>
      </c>
      <c r="H668" s="129">
        <v>2.63</v>
      </c>
    </row>
    <row r="669" spans="2:8" x14ac:dyDescent="0.25">
      <c r="B669" s="234" t="s">
        <v>3169</v>
      </c>
      <c r="C669" s="55" t="s">
        <v>2988</v>
      </c>
      <c r="D669" s="263">
        <v>273</v>
      </c>
      <c r="E669" s="263">
        <v>36</v>
      </c>
      <c r="F669" s="260" t="s">
        <v>3003</v>
      </c>
      <c r="G669" s="234"/>
      <c r="H669" s="202">
        <f>13.984-6.979</f>
        <v>7.0049999999999999</v>
      </c>
    </row>
    <row r="670" spans="2:8" x14ac:dyDescent="0.25">
      <c r="B670" s="97" t="s">
        <v>3169</v>
      </c>
      <c r="C670" s="97" t="s">
        <v>315</v>
      </c>
      <c r="D670" s="97">
        <v>273</v>
      </c>
      <c r="E670" s="97">
        <v>36</v>
      </c>
      <c r="F670" s="287" t="s">
        <v>234</v>
      </c>
      <c r="G670" s="287" t="s">
        <v>3476</v>
      </c>
      <c r="H670" s="129">
        <v>1.79</v>
      </c>
    </row>
    <row r="671" spans="2:8" x14ac:dyDescent="0.25">
      <c r="B671" s="234" t="s">
        <v>3169</v>
      </c>
      <c r="C671" s="55" t="s">
        <v>2985</v>
      </c>
      <c r="D671" s="263">
        <v>273</v>
      </c>
      <c r="E671" s="263">
        <v>40</v>
      </c>
      <c r="F671" s="260" t="s">
        <v>3003</v>
      </c>
      <c r="G671" s="234"/>
      <c r="H671" s="256">
        <f>3.092-1.54</f>
        <v>1.552</v>
      </c>
    </row>
    <row r="672" spans="2:8" x14ac:dyDescent="0.25">
      <c r="B672" s="234" t="s">
        <v>3169</v>
      </c>
      <c r="C672" s="55" t="s">
        <v>2985</v>
      </c>
      <c r="D672" s="263">
        <v>273</v>
      </c>
      <c r="E672" s="263">
        <v>40</v>
      </c>
      <c r="F672" s="260" t="s">
        <v>3003</v>
      </c>
      <c r="G672" s="234"/>
      <c r="H672" s="202">
        <v>1.5640000000000001</v>
      </c>
    </row>
    <row r="673" spans="2:8" x14ac:dyDescent="0.25">
      <c r="B673" s="112" t="s">
        <v>2908</v>
      </c>
      <c r="C673" s="97" t="s">
        <v>3063</v>
      </c>
      <c r="D673" s="97">
        <v>273</v>
      </c>
      <c r="E673" s="97">
        <v>40</v>
      </c>
      <c r="F673" s="287" t="s">
        <v>2785</v>
      </c>
      <c r="G673" s="287" t="s">
        <v>3333</v>
      </c>
      <c r="H673" s="129">
        <v>1.5049999999999999</v>
      </c>
    </row>
    <row r="674" spans="2:8" x14ac:dyDescent="0.25">
      <c r="B674" s="97" t="s">
        <v>3169</v>
      </c>
      <c r="C674" s="97" t="s">
        <v>315</v>
      </c>
      <c r="D674" s="97">
        <v>273</v>
      </c>
      <c r="E674" s="97">
        <v>40</v>
      </c>
      <c r="F674" s="287" t="s">
        <v>234</v>
      </c>
      <c r="G674" s="287" t="s">
        <v>3477</v>
      </c>
      <c r="H674" s="129">
        <v>6.74</v>
      </c>
    </row>
    <row r="675" spans="2:8" x14ac:dyDescent="0.25">
      <c r="B675" s="234" t="s">
        <v>3169</v>
      </c>
      <c r="C675" s="55" t="s">
        <v>2985</v>
      </c>
      <c r="D675" s="263">
        <v>273</v>
      </c>
      <c r="E675" s="263">
        <v>60</v>
      </c>
      <c r="F675" s="260" t="s">
        <v>3003</v>
      </c>
      <c r="G675" s="234"/>
      <c r="H675" s="202">
        <v>4.069</v>
      </c>
    </row>
    <row r="676" spans="2:8" x14ac:dyDescent="0.25">
      <c r="B676" s="234" t="s">
        <v>3169</v>
      </c>
      <c r="C676" s="55" t="s">
        <v>2989</v>
      </c>
      <c r="D676" s="263">
        <v>273</v>
      </c>
      <c r="E676" s="263">
        <v>60</v>
      </c>
      <c r="F676" s="260" t="s">
        <v>3003</v>
      </c>
      <c r="G676" s="234"/>
      <c r="H676" s="202">
        <v>1.3560000000000001</v>
      </c>
    </row>
    <row r="677" spans="2:8" x14ac:dyDescent="0.25">
      <c r="B677" s="234" t="s">
        <v>3169</v>
      </c>
      <c r="C677" s="55" t="s">
        <v>2990</v>
      </c>
      <c r="D677" s="263">
        <v>285</v>
      </c>
      <c r="E677" s="263">
        <v>45</v>
      </c>
      <c r="F677" s="260" t="s">
        <v>3003</v>
      </c>
      <c r="G677" s="234"/>
      <c r="H677" s="202">
        <v>1.5580000000000001</v>
      </c>
    </row>
    <row r="678" spans="2:8" x14ac:dyDescent="0.2">
      <c r="B678" s="134" t="s">
        <v>3001</v>
      </c>
      <c r="C678" s="134" t="s">
        <v>3139</v>
      </c>
      <c r="D678" s="134">
        <v>290</v>
      </c>
      <c r="E678" s="134">
        <v>12</v>
      </c>
      <c r="F678" s="22"/>
      <c r="G678" s="22" t="s">
        <v>3140</v>
      </c>
      <c r="H678" s="181">
        <v>0.40500000000000003</v>
      </c>
    </row>
    <row r="679" spans="2:8" x14ac:dyDescent="0.25">
      <c r="B679" s="112" t="s">
        <v>2908</v>
      </c>
      <c r="C679" s="55" t="s">
        <v>1711</v>
      </c>
      <c r="D679" s="263">
        <v>299</v>
      </c>
      <c r="E679" s="263">
        <v>36</v>
      </c>
      <c r="F679" s="260" t="s">
        <v>150</v>
      </c>
      <c r="G679" s="234"/>
      <c r="H679" s="202">
        <v>0.55600000000000005</v>
      </c>
    </row>
    <row r="680" spans="2:8" x14ac:dyDescent="0.25">
      <c r="B680" s="112" t="s">
        <v>2908</v>
      </c>
      <c r="C680" s="106">
        <v>20</v>
      </c>
      <c r="D680" s="106">
        <v>325</v>
      </c>
      <c r="E680" s="106">
        <v>6</v>
      </c>
      <c r="F680" s="112" t="s">
        <v>2785</v>
      </c>
      <c r="G680" s="234">
        <v>7.91</v>
      </c>
      <c r="H680" s="202">
        <v>0.374</v>
      </c>
    </row>
    <row r="681" spans="2:8" x14ac:dyDescent="0.2">
      <c r="B681" s="234" t="s">
        <v>2906</v>
      </c>
      <c r="C681" s="234">
        <v>20</v>
      </c>
      <c r="D681" s="234">
        <v>325</v>
      </c>
      <c r="E681" s="234">
        <v>6</v>
      </c>
      <c r="F681" s="234"/>
      <c r="G681" s="245" t="s">
        <v>2907</v>
      </c>
      <c r="H681" s="274">
        <v>19.899999999999999</v>
      </c>
    </row>
    <row r="682" spans="2:8" x14ac:dyDescent="0.2">
      <c r="B682" s="204" t="s">
        <v>202</v>
      </c>
      <c r="C682" s="106">
        <v>20</v>
      </c>
      <c r="D682" s="234">
        <v>325</v>
      </c>
      <c r="E682" s="106">
        <v>7</v>
      </c>
      <c r="F682" s="198" t="s">
        <v>2794</v>
      </c>
      <c r="G682" s="198" t="s">
        <v>2863</v>
      </c>
      <c r="H682" s="201">
        <v>25.77</v>
      </c>
    </row>
    <row r="683" spans="2:8" x14ac:dyDescent="0.25">
      <c r="B683" s="112" t="s">
        <v>2908</v>
      </c>
      <c r="C683" s="234" t="s">
        <v>210</v>
      </c>
      <c r="D683" s="234">
        <v>325</v>
      </c>
      <c r="E683" s="234">
        <v>8</v>
      </c>
      <c r="F683" s="198" t="s">
        <v>286</v>
      </c>
      <c r="G683" s="198" t="s">
        <v>2855</v>
      </c>
      <c r="H683" s="201">
        <v>0.6</v>
      </c>
    </row>
    <row r="684" spans="2:8" x14ac:dyDescent="0.2">
      <c r="B684" s="204" t="s">
        <v>202</v>
      </c>
      <c r="C684" s="106">
        <v>20</v>
      </c>
      <c r="D684" s="234">
        <v>325</v>
      </c>
      <c r="E684" s="106">
        <v>8</v>
      </c>
      <c r="F684" s="198" t="s">
        <v>2794</v>
      </c>
      <c r="G684" s="198" t="s">
        <v>2864</v>
      </c>
      <c r="H684" s="201">
        <v>1.45</v>
      </c>
    </row>
    <row r="685" spans="2:8" x14ac:dyDescent="0.25">
      <c r="B685" s="112" t="s">
        <v>2908</v>
      </c>
      <c r="C685" s="106"/>
      <c r="D685" s="106">
        <v>325</v>
      </c>
      <c r="E685" s="106">
        <v>8</v>
      </c>
      <c r="F685" s="112" t="s">
        <v>2785</v>
      </c>
      <c r="G685" s="234"/>
      <c r="H685" s="202">
        <v>1.1919999999999999</v>
      </c>
    </row>
    <row r="686" spans="2:8" x14ac:dyDescent="0.25">
      <c r="B686" s="112" t="s">
        <v>2908</v>
      </c>
      <c r="C686" s="106" t="s">
        <v>210</v>
      </c>
      <c r="D686" s="106">
        <v>325</v>
      </c>
      <c r="E686" s="106">
        <v>8</v>
      </c>
      <c r="F686" s="112" t="s">
        <v>2785</v>
      </c>
      <c r="G686" s="234"/>
      <c r="H686" s="202">
        <v>1.224</v>
      </c>
    </row>
    <row r="687" spans="2:8" x14ac:dyDescent="0.25">
      <c r="B687" s="234" t="s">
        <v>2902</v>
      </c>
      <c r="C687" s="234"/>
      <c r="D687" s="234">
        <v>325</v>
      </c>
      <c r="E687" s="234">
        <v>8</v>
      </c>
      <c r="F687" s="244"/>
      <c r="G687" s="234"/>
      <c r="H687" s="274">
        <v>20</v>
      </c>
    </row>
    <row r="688" spans="2:8" x14ac:dyDescent="0.25">
      <c r="B688" s="187" t="s">
        <v>2901</v>
      </c>
      <c r="C688" s="234"/>
      <c r="D688" s="234">
        <v>325</v>
      </c>
      <c r="E688" s="234">
        <v>8</v>
      </c>
      <c r="F688" s="244"/>
      <c r="G688" s="234"/>
      <c r="H688" s="274">
        <v>10</v>
      </c>
    </row>
    <row r="689" spans="2:8" x14ac:dyDescent="0.25">
      <c r="B689" s="97" t="s">
        <v>202</v>
      </c>
      <c r="C689" s="97"/>
      <c r="D689" s="97">
        <v>325</v>
      </c>
      <c r="E689" s="97">
        <v>8</v>
      </c>
      <c r="F689" s="97" t="s">
        <v>2913</v>
      </c>
      <c r="G689" s="97"/>
      <c r="H689" s="278">
        <v>20</v>
      </c>
    </row>
    <row r="690" spans="2:8" x14ac:dyDescent="0.25">
      <c r="B690" s="97" t="s">
        <v>202</v>
      </c>
      <c r="C690" s="97">
        <v>20</v>
      </c>
      <c r="D690" s="97">
        <v>325</v>
      </c>
      <c r="E690" s="97">
        <v>8</v>
      </c>
      <c r="F690" s="97" t="s">
        <v>2794</v>
      </c>
      <c r="G690" s="97"/>
      <c r="H690" s="278">
        <v>9.3000000000000007</v>
      </c>
    </row>
    <row r="691" spans="2:8" x14ac:dyDescent="0.25">
      <c r="B691" s="112" t="s">
        <v>2908</v>
      </c>
      <c r="C691" s="97"/>
      <c r="D691" s="97">
        <v>325</v>
      </c>
      <c r="E691" s="97">
        <v>8</v>
      </c>
      <c r="F691" s="97" t="s">
        <v>2924</v>
      </c>
      <c r="G691" s="97"/>
      <c r="H691" s="278">
        <v>2.4700000000000002</v>
      </c>
    </row>
    <row r="692" spans="2:8" x14ac:dyDescent="0.25">
      <c r="B692" s="112" t="s">
        <v>2908</v>
      </c>
      <c r="C692" s="257" t="s">
        <v>215</v>
      </c>
      <c r="D692" s="257">
        <v>325</v>
      </c>
      <c r="E692" s="234">
        <v>8</v>
      </c>
      <c r="F692" s="234" t="s">
        <v>2958</v>
      </c>
      <c r="G692" s="234"/>
      <c r="H692" s="279">
        <v>2.0510000000000002</v>
      </c>
    </row>
    <row r="693" spans="2:8" x14ac:dyDescent="0.25">
      <c r="B693" s="112" t="s">
        <v>2908</v>
      </c>
      <c r="C693" s="97" t="s">
        <v>2967</v>
      </c>
      <c r="D693" s="97">
        <v>325</v>
      </c>
      <c r="E693" s="97">
        <v>8</v>
      </c>
      <c r="F693" s="287" t="s">
        <v>3334</v>
      </c>
      <c r="G693" s="287" t="s">
        <v>3335</v>
      </c>
      <c r="H693" s="129">
        <v>6.84</v>
      </c>
    </row>
    <row r="694" spans="2:8" x14ac:dyDescent="0.25">
      <c r="B694" s="112" t="s">
        <v>2908</v>
      </c>
      <c r="C694" s="97">
        <v>10</v>
      </c>
      <c r="D694" s="97">
        <v>325</v>
      </c>
      <c r="E694" s="97">
        <v>8</v>
      </c>
      <c r="F694" s="287" t="s">
        <v>2785</v>
      </c>
      <c r="G694" s="287" t="s">
        <v>3336</v>
      </c>
      <c r="H694" s="129">
        <v>0.62</v>
      </c>
    </row>
    <row r="695" spans="2:8" x14ac:dyDescent="0.25">
      <c r="B695" s="112" t="s">
        <v>2908</v>
      </c>
      <c r="C695" s="97">
        <v>20</v>
      </c>
      <c r="D695" s="97">
        <v>325</v>
      </c>
      <c r="E695" s="97">
        <v>8</v>
      </c>
      <c r="F695" s="287" t="s">
        <v>2785</v>
      </c>
      <c r="G695" s="287" t="s">
        <v>3337</v>
      </c>
      <c r="H695" s="129">
        <v>0.47499999999999998</v>
      </c>
    </row>
    <row r="696" spans="2:8" x14ac:dyDescent="0.25">
      <c r="B696" s="112" t="s">
        <v>2908</v>
      </c>
      <c r="C696" s="97" t="s">
        <v>213</v>
      </c>
      <c r="D696" s="97">
        <v>325</v>
      </c>
      <c r="E696" s="97">
        <v>8</v>
      </c>
      <c r="F696" s="287" t="s">
        <v>3338</v>
      </c>
      <c r="G696" s="287" t="s">
        <v>3337</v>
      </c>
      <c r="H696" s="129">
        <v>0.48499999999999999</v>
      </c>
    </row>
    <row r="697" spans="2:8" x14ac:dyDescent="0.25">
      <c r="B697" s="112" t="s">
        <v>2908</v>
      </c>
      <c r="C697" s="97">
        <v>20</v>
      </c>
      <c r="D697" s="97">
        <v>325</v>
      </c>
      <c r="E697" s="97">
        <v>8</v>
      </c>
      <c r="F697" s="287" t="s">
        <v>2785</v>
      </c>
      <c r="G697" s="287" t="s">
        <v>3339</v>
      </c>
      <c r="H697" s="129">
        <v>0.49</v>
      </c>
    </row>
    <row r="698" spans="2:8" x14ac:dyDescent="0.25">
      <c r="B698" s="112" t="s">
        <v>2908</v>
      </c>
      <c r="C698" s="97" t="s">
        <v>211</v>
      </c>
      <c r="D698" s="97">
        <v>325</v>
      </c>
      <c r="E698" s="97">
        <v>8</v>
      </c>
      <c r="F698" s="287" t="s">
        <v>3338</v>
      </c>
      <c r="G698" s="287" t="s">
        <v>3340</v>
      </c>
      <c r="H698" s="129">
        <v>7.53</v>
      </c>
    </row>
    <row r="699" spans="2:8" x14ac:dyDescent="0.25">
      <c r="B699" s="112" t="s">
        <v>2908</v>
      </c>
      <c r="C699" s="112" t="s">
        <v>210</v>
      </c>
      <c r="D699" s="237">
        <v>325</v>
      </c>
      <c r="E699" s="237">
        <v>9</v>
      </c>
      <c r="F699" s="234" t="s">
        <v>150</v>
      </c>
      <c r="G699" s="77" t="s">
        <v>18</v>
      </c>
      <c r="H699" s="272">
        <v>2.1</v>
      </c>
    </row>
    <row r="700" spans="2:8" x14ac:dyDescent="0.25">
      <c r="B700" s="112" t="s">
        <v>2908</v>
      </c>
      <c r="C700" s="234" t="s">
        <v>210</v>
      </c>
      <c r="D700" s="234">
        <v>325</v>
      </c>
      <c r="E700" s="234">
        <v>9</v>
      </c>
      <c r="F700" s="198" t="s">
        <v>2785</v>
      </c>
      <c r="G700" s="198" t="s">
        <v>2856</v>
      </c>
      <c r="H700" s="201">
        <v>2.2999999999999998</v>
      </c>
    </row>
    <row r="701" spans="2:8" x14ac:dyDescent="0.25">
      <c r="B701" s="112" t="s">
        <v>2908</v>
      </c>
      <c r="C701" s="106">
        <v>20</v>
      </c>
      <c r="D701" s="106">
        <v>325</v>
      </c>
      <c r="E701" s="106">
        <v>9</v>
      </c>
      <c r="F701" s="112" t="s">
        <v>2785</v>
      </c>
      <c r="G701" s="234">
        <v>5.88</v>
      </c>
      <c r="H701" s="202">
        <v>0.41199999999999998</v>
      </c>
    </row>
    <row r="702" spans="2:8" x14ac:dyDescent="0.25">
      <c r="B702" s="187" t="s">
        <v>2901</v>
      </c>
      <c r="C702" s="234"/>
      <c r="D702" s="234">
        <v>325</v>
      </c>
      <c r="E702" s="234">
        <v>9</v>
      </c>
      <c r="F702" s="244"/>
      <c r="G702" s="234"/>
      <c r="H702" s="274">
        <v>8</v>
      </c>
    </row>
    <row r="703" spans="2:8" x14ac:dyDescent="0.25">
      <c r="B703" s="97" t="s">
        <v>202</v>
      </c>
      <c r="C703" s="97" t="s">
        <v>210</v>
      </c>
      <c r="D703" s="97">
        <v>325</v>
      </c>
      <c r="E703" s="97">
        <v>9</v>
      </c>
      <c r="F703" s="97" t="s">
        <v>2914</v>
      </c>
      <c r="G703" s="97"/>
      <c r="H703" s="278">
        <v>15.33</v>
      </c>
    </row>
    <row r="704" spans="2:8" x14ac:dyDescent="0.25">
      <c r="B704" s="112" t="s">
        <v>2908</v>
      </c>
      <c r="C704" s="97" t="s">
        <v>210</v>
      </c>
      <c r="D704" s="97">
        <v>325</v>
      </c>
      <c r="E704" s="97">
        <v>9</v>
      </c>
      <c r="F704" s="287" t="s">
        <v>287</v>
      </c>
      <c r="G704" s="287" t="s">
        <v>3341</v>
      </c>
      <c r="H704" s="129">
        <v>0.83</v>
      </c>
    </row>
    <row r="705" spans="2:8" x14ac:dyDescent="0.25">
      <c r="B705" s="112" t="s">
        <v>2908</v>
      </c>
      <c r="C705" s="234" t="s">
        <v>210</v>
      </c>
      <c r="D705" s="234">
        <v>325</v>
      </c>
      <c r="E705" s="106">
        <v>10</v>
      </c>
      <c r="F705" s="198" t="s">
        <v>232</v>
      </c>
      <c r="G705" s="198" t="s">
        <v>2857</v>
      </c>
      <c r="H705" s="201">
        <v>3.8</v>
      </c>
    </row>
    <row r="706" spans="2:8" x14ac:dyDescent="0.25">
      <c r="B706" s="112" t="s">
        <v>2908</v>
      </c>
      <c r="C706" s="106">
        <v>20</v>
      </c>
      <c r="D706" s="234">
        <v>325</v>
      </c>
      <c r="E706" s="106">
        <v>10</v>
      </c>
      <c r="F706" s="198" t="s">
        <v>2786</v>
      </c>
      <c r="G706" s="198" t="s">
        <v>44</v>
      </c>
      <c r="H706" s="201">
        <v>5</v>
      </c>
    </row>
    <row r="707" spans="2:8" x14ac:dyDescent="0.25">
      <c r="B707" s="187" t="s">
        <v>202</v>
      </c>
      <c r="C707" s="112">
        <v>20</v>
      </c>
      <c r="D707" s="112">
        <v>325</v>
      </c>
      <c r="E707" s="112">
        <v>10</v>
      </c>
      <c r="F707" s="187" t="s">
        <v>2794</v>
      </c>
      <c r="G707" s="234" t="s">
        <v>2870</v>
      </c>
      <c r="H707" s="202">
        <v>15.455</v>
      </c>
    </row>
    <row r="708" spans="2:8" x14ac:dyDescent="0.25">
      <c r="B708" s="112" t="s">
        <v>2908</v>
      </c>
      <c r="C708" s="106">
        <v>20</v>
      </c>
      <c r="D708" s="106">
        <v>325</v>
      </c>
      <c r="E708" s="106">
        <v>10</v>
      </c>
      <c r="F708" s="112" t="s">
        <v>2785</v>
      </c>
      <c r="G708" s="234">
        <v>7.96</v>
      </c>
      <c r="H708" s="202">
        <v>0.61799999999999999</v>
      </c>
    </row>
    <row r="709" spans="2:8" x14ac:dyDescent="0.25">
      <c r="B709" s="187" t="s">
        <v>2901</v>
      </c>
      <c r="C709" s="234"/>
      <c r="D709" s="234">
        <v>325</v>
      </c>
      <c r="E709" s="234">
        <v>10</v>
      </c>
      <c r="F709" s="244"/>
      <c r="G709" s="234"/>
      <c r="H709" s="274">
        <v>2.5</v>
      </c>
    </row>
    <row r="710" spans="2:8" x14ac:dyDescent="0.25">
      <c r="B710" s="112" t="s">
        <v>2908</v>
      </c>
      <c r="C710" s="257" t="s">
        <v>215</v>
      </c>
      <c r="D710" s="257">
        <v>325</v>
      </c>
      <c r="E710" s="234">
        <v>10</v>
      </c>
      <c r="F710" s="234"/>
      <c r="G710" s="234" t="s">
        <v>2971</v>
      </c>
      <c r="H710" s="279">
        <v>1.802</v>
      </c>
    </row>
    <row r="711" spans="2:8" x14ac:dyDescent="0.25">
      <c r="B711" s="112" t="s">
        <v>2908</v>
      </c>
      <c r="C711" s="97" t="s">
        <v>215</v>
      </c>
      <c r="D711" s="97">
        <v>325</v>
      </c>
      <c r="E711" s="97">
        <v>10</v>
      </c>
      <c r="F711" s="287" t="s">
        <v>3342</v>
      </c>
      <c r="G711" s="287" t="s">
        <v>3343</v>
      </c>
      <c r="H711" s="129">
        <v>0.64</v>
      </c>
    </row>
    <row r="712" spans="2:8" x14ac:dyDescent="0.25">
      <c r="B712" s="112" t="s">
        <v>2908</v>
      </c>
      <c r="C712" s="97">
        <v>20</v>
      </c>
      <c r="D712" s="97">
        <v>325</v>
      </c>
      <c r="E712" s="97">
        <v>10</v>
      </c>
      <c r="F712" s="287" t="s">
        <v>2785</v>
      </c>
      <c r="G712" s="287" t="s">
        <v>3344</v>
      </c>
      <c r="H712" s="129">
        <v>1.095</v>
      </c>
    </row>
    <row r="713" spans="2:8" x14ac:dyDescent="0.25">
      <c r="B713" s="112" t="s">
        <v>2908</v>
      </c>
      <c r="C713" s="97">
        <v>20</v>
      </c>
      <c r="D713" s="97">
        <v>325</v>
      </c>
      <c r="E713" s="97">
        <v>10</v>
      </c>
      <c r="F713" s="287" t="s">
        <v>2785</v>
      </c>
      <c r="G713" s="287" t="s">
        <v>3345</v>
      </c>
      <c r="H713" s="129">
        <v>2.54</v>
      </c>
    </row>
    <row r="714" spans="2:8" x14ac:dyDescent="0.25">
      <c r="B714" s="112" t="s">
        <v>2908</v>
      </c>
      <c r="C714" s="97" t="s">
        <v>218</v>
      </c>
      <c r="D714" s="97">
        <v>325</v>
      </c>
      <c r="E714" s="97">
        <v>10</v>
      </c>
      <c r="F714" s="287" t="s">
        <v>2785</v>
      </c>
      <c r="G714" s="287" t="s">
        <v>3346</v>
      </c>
      <c r="H714" s="129">
        <v>0.95499999999999996</v>
      </c>
    </row>
    <row r="715" spans="2:8" x14ac:dyDescent="0.25">
      <c r="B715" s="187" t="s">
        <v>2901</v>
      </c>
      <c r="C715" s="234"/>
      <c r="D715" s="234">
        <v>325</v>
      </c>
      <c r="E715" s="234">
        <v>11</v>
      </c>
      <c r="F715" s="244"/>
      <c r="G715" s="234"/>
      <c r="H715" s="274">
        <v>8</v>
      </c>
    </row>
    <row r="716" spans="2:8" x14ac:dyDescent="0.25">
      <c r="B716" s="112" t="s">
        <v>2908</v>
      </c>
      <c r="C716" s="97" t="s">
        <v>3063</v>
      </c>
      <c r="D716" s="97">
        <v>325</v>
      </c>
      <c r="E716" s="97">
        <v>11</v>
      </c>
      <c r="F716" s="287" t="s">
        <v>2785</v>
      </c>
      <c r="G716" s="287" t="s">
        <v>3347</v>
      </c>
      <c r="H716" s="129">
        <v>0.89</v>
      </c>
    </row>
    <row r="717" spans="2:8" x14ac:dyDescent="0.25">
      <c r="B717" s="112" t="s">
        <v>2908</v>
      </c>
      <c r="C717" s="97">
        <v>20</v>
      </c>
      <c r="D717" s="97">
        <v>325</v>
      </c>
      <c r="E717" s="97">
        <v>11</v>
      </c>
      <c r="F717" s="287" t="s">
        <v>2785</v>
      </c>
      <c r="G717" s="287" t="s">
        <v>3348</v>
      </c>
      <c r="H717" s="129">
        <v>3.48</v>
      </c>
    </row>
    <row r="718" spans="2:8" x14ac:dyDescent="0.25">
      <c r="B718" s="112" t="s">
        <v>2908</v>
      </c>
      <c r="C718" s="97" t="s">
        <v>3226</v>
      </c>
      <c r="D718" s="97">
        <v>325</v>
      </c>
      <c r="E718" s="97">
        <v>11</v>
      </c>
      <c r="F718" s="287" t="s">
        <v>2785</v>
      </c>
      <c r="G718" s="287" t="s">
        <v>3349</v>
      </c>
      <c r="H718" s="129">
        <v>3.915</v>
      </c>
    </row>
    <row r="719" spans="2:8" x14ac:dyDescent="0.25">
      <c r="B719" s="112" t="s">
        <v>2908</v>
      </c>
      <c r="C719" s="106">
        <v>20</v>
      </c>
      <c r="D719" s="234">
        <v>325</v>
      </c>
      <c r="E719" s="234">
        <v>12</v>
      </c>
      <c r="F719" s="198" t="s">
        <v>2785</v>
      </c>
      <c r="G719" s="198" t="s">
        <v>2858</v>
      </c>
      <c r="H719" s="201">
        <v>3.1</v>
      </c>
    </row>
    <row r="720" spans="2:8" x14ac:dyDescent="0.25">
      <c r="B720" s="112" t="s">
        <v>2908</v>
      </c>
      <c r="C720" s="257" t="s">
        <v>2979</v>
      </c>
      <c r="D720" s="257">
        <v>325</v>
      </c>
      <c r="E720" s="234">
        <v>12</v>
      </c>
      <c r="F720" s="234" t="s">
        <v>2954</v>
      </c>
      <c r="G720" s="234">
        <v>11.58</v>
      </c>
      <c r="H720" s="279">
        <v>1.073</v>
      </c>
    </row>
    <row r="721" spans="2:8" x14ac:dyDescent="0.25">
      <c r="B721" s="234" t="s">
        <v>3169</v>
      </c>
      <c r="C721" s="55" t="s">
        <v>2988</v>
      </c>
      <c r="D721" s="263">
        <v>325</v>
      </c>
      <c r="E721" s="263">
        <v>12</v>
      </c>
      <c r="F721" s="260" t="s">
        <v>3003</v>
      </c>
      <c r="G721" s="234"/>
      <c r="H721" s="202">
        <v>0.27800000000000002</v>
      </c>
    </row>
    <row r="722" spans="2:8" x14ac:dyDescent="0.25">
      <c r="B722" s="112" t="s">
        <v>2908</v>
      </c>
      <c r="C722" s="55" t="s">
        <v>2947</v>
      </c>
      <c r="D722" s="263">
        <v>325</v>
      </c>
      <c r="E722" s="263">
        <v>12</v>
      </c>
      <c r="F722" s="260" t="s">
        <v>150</v>
      </c>
      <c r="G722" s="234"/>
      <c r="H722" s="202">
        <f>0.62-0.11</f>
        <v>0.51</v>
      </c>
    </row>
    <row r="723" spans="2:8" x14ac:dyDescent="0.25">
      <c r="B723" s="112" t="s">
        <v>2908</v>
      </c>
      <c r="C723" s="55">
        <v>20</v>
      </c>
      <c r="D723" s="263">
        <v>325</v>
      </c>
      <c r="E723" s="263">
        <v>12</v>
      </c>
      <c r="F723" s="260" t="s">
        <v>3003</v>
      </c>
      <c r="G723" s="234"/>
      <c r="H723" s="202">
        <v>0.40400000000000003</v>
      </c>
    </row>
    <row r="724" spans="2:8" x14ac:dyDescent="0.25">
      <c r="B724" s="112" t="s">
        <v>2908</v>
      </c>
      <c r="C724" s="97" t="s">
        <v>210</v>
      </c>
      <c r="D724" s="97">
        <v>325</v>
      </c>
      <c r="E724" s="97">
        <v>12</v>
      </c>
      <c r="F724" s="287" t="s">
        <v>2785</v>
      </c>
      <c r="G724" s="287" t="s">
        <v>3350</v>
      </c>
      <c r="H724" s="129">
        <v>5.1849999999999996</v>
      </c>
    </row>
    <row r="725" spans="2:8" x14ac:dyDescent="0.25">
      <c r="B725" s="112" t="s">
        <v>2908</v>
      </c>
      <c r="C725" s="97">
        <v>20</v>
      </c>
      <c r="D725" s="97">
        <v>325</v>
      </c>
      <c r="E725" s="97">
        <v>12</v>
      </c>
      <c r="F725" s="287" t="s">
        <v>2785</v>
      </c>
      <c r="G725" s="287" t="s">
        <v>3351</v>
      </c>
      <c r="H725" s="129">
        <v>9.7149999999999999</v>
      </c>
    </row>
    <row r="726" spans="2:8" x14ac:dyDescent="0.25">
      <c r="B726" s="97" t="s">
        <v>3169</v>
      </c>
      <c r="C726" s="97" t="s">
        <v>3451</v>
      </c>
      <c r="D726" s="97">
        <v>325</v>
      </c>
      <c r="E726" s="97">
        <v>13</v>
      </c>
      <c r="F726" s="287" t="s">
        <v>3478</v>
      </c>
      <c r="G726" s="287" t="s">
        <v>3479</v>
      </c>
      <c r="H726" s="129">
        <v>2.5150000000000001</v>
      </c>
    </row>
    <row r="727" spans="2:8" x14ac:dyDescent="0.25">
      <c r="B727" s="97" t="s">
        <v>3169</v>
      </c>
      <c r="C727" s="97">
        <v>20</v>
      </c>
      <c r="D727" s="97">
        <v>325</v>
      </c>
      <c r="E727" s="97">
        <v>13</v>
      </c>
      <c r="F727" s="287" t="s">
        <v>3480</v>
      </c>
      <c r="G727" s="287" t="s">
        <v>3481</v>
      </c>
      <c r="H727" s="129">
        <v>6.51</v>
      </c>
    </row>
    <row r="728" spans="2:8" x14ac:dyDescent="0.25">
      <c r="B728" s="112" t="s">
        <v>2908</v>
      </c>
      <c r="C728" s="269">
        <v>20</v>
      </c>
      <c r="D728" s="263">
        <v>325</v>
      </c>
      <c r="E728" s="263">
        <v>14</v>
      </c>
      <c r="F728" s="260" t="s">
        <v>3003</v>
      </c>
      <c r="G728" s="234"/>
      <c r="H728" s="202">
        <v>0.38300000000000001</v>
      </c>
    </row>
    <row r="729" spans="2:8" x14ac:dyDescent="0.25">
      <c r="B729" s="112" t="s">
        <v>2908</v>
      </c>
      <c r="C729" s="97" t="s">
        <v>2967</v>
      </c>
      <c r="D729" s="97">
        <v>325</v>
      </c>
      <c r="E729" s="97">
        <v>14</v>
      </c>
      <c r="F729" s="287" t="s">
        <v>3352</v>
      </c>
      <c r="G729" s="287" t="s">
        <v>3353</v>
      </c>
      <c r="H729" s="129">
        <v>14.18</v>
      </c>
    </row>
    <row r="730" spans="2:8" x14ac:dyDescent="0.25">
      <c r="B730" s="112" t="s">
        <v>2908</v>
      </c>
      <c r="C730" s="97" t="s">
        <v>210</v>
      </c>
      <c r="D730" s="97">
        <v>325</v>
      </c>
      <c r="E730" s="97">
        <v>14</v>
      </c>
      <c r="F730" s="287" t="s">
        <v>2785</v>
      </c>
      <c r="G730" s="287" t="s">
        <v>3354</v>
      </c>
      <c r="H730" s="129">
        <v>2.2000000000000002</v>
      </c>
    </row>
    <row r="731" spans="2:8" x14ac:dyDescent="0.25">
      <c r="B731" s="112" t="s">
        <v>2908</v>
      </c>
      <c r="C731" s="97" t="s">
        <v>210</v>
      </c>
      <c r="D731" s="97">
        <v>325</v>
      </c>
      <c r="E731" s="97">
        <v>14</v>
      </c>
      <c r="F731" s="287" t="s">
        <v>2785</v>
      </c>
      <c r="G731" s="287" t="s">
        <v>3355</v>
      </c>
      <c r="H731" s="129">
        <v>1.01</v>
      </c>
    </row>
    <row r="732" spans="2:8" x14ac:dyDescent="0.25">
      <c r="B732" s="112" t="s">
        <v>2908</v>
      </c>
      <c r="C732" s="97" t="s">
        <v>210</v>
      </c>
      <c r="D732" s="97">
        <v>325</v>
      </c>
      <c r="E732" s="97">
        <v>14</v>
      </c>
      <c r="F732" s="287" t="s">
        <v>2785</v>
      </c>
      <c r="G732" s="287" t="s">
        <v>3356</v>
      </c>
      <c r="H732" s="129">
        <v>4.71</v>
      </c>
    </row>
    <row r="733" spans="2:8" x14ac:dyDescent="0.25">
      <c r="B733" s="112" t="s">
        <v>2908</v>
      </c>
      <c r="C733" s="97">
        <v>10</v>
      </c>
      <c r="D733" s="97">
        <v>325</v>
      </c>
      <c r="E733" s="97">
        <v>14</v>
      </c>
      <c r="F733" s="287" t="s">
        <v>2785</v>
      </c>
      <c r="G733" s="287" t="s">
        <v>3357</v>
      </c>
      <c r="H733" s="129">
        <v>0.82499999999999996</v>
      </c>
    </row>
    <row r="734" spans="2:8" x14ac:dyDescent="0.25">
      <c r="B734" s="112" t="s">
        <v>2908</v>
      </c>
      <c r="C734" s="97" t="s">
        <v>210</v>
      </c>
      <c r="D734" s="97">
        <v>325</v>
      </c>
      <c r="E734" s="97">
        <v>15</v>
      </c>
      <c r="F734" s="287" t="s">
        <v>2785</v>
      </c>
      <c r="G734" s="287" t="s">
        <v>3358</v>
      </c>
      <c r="H734" s="129">
        <v>7.99</v>
      </c>
    </row>
    <row r="735" spans="2:8" x14ac:dyDescent="0.25">
      <c r="B735" s="112" t="s">
        <v>2908</v>
      </c>
      <c r="C735" s="112" t="s">
        <v>210</v>
      </c>
      <c r="D735" s="237">
        <v>325</v>
      </c>
      <c r="E735" s="3">
        <v>16</v>
      </c>
      <c r="F735" s="234" t="s">
        <v>233</v>
      </c>
      <c r="G735" s="233" t="s">
        <v>142</v>
      </c>
      <c r="H735" s="271">
        <v>21.5</v>
      </c>
    </row>
    <row r="736" spans="2:8" x14ac:dyDescent="0.25">
      <c r="B736" s="112" t="s">
        <v>2908</v>
      </c>
      <c r="C736" s="257" t="s">
        <v>255</v>
      </c>
      <c r="D736" s="257">
        <v>325</v>
      </c>
      <c r="E736" s="234">
        <v>16</v>
      </c>
      <c r="F736" s="234" t="s">
        <v>2948</v>
      </c>
      <c r="G736" s="234"/>
      <c r="H736" s="279">
        <v>50</v>
      </c>
    </row>
    <row r="737" spans="2:8" x14ac:dyDescent="0.25">
      <c r="B737" s="112" t="s">
        <v>2908</v>
      </c>
      <c r="C737" s="257" t="s">
        <v>215</v>
      </c>
      <c r="D737" s="257">
        <v>325</v>
      </c>
      <c r="E737" s="234">
        <v>16</v>
      </c>
      <c r="F737" s="234"/>
      <c r="G737" s="234"/>
      <c r="H737" s="279">
        <v>0.98499999999999999</v>
      </c>
    </row>
    <row r="738" spans="2:8" x14ac:dyDescent="0.25">
      <c r="B738" s="112" t="s">
        <v>2908</v>
      </c>
      <c r="C738" s="55">
        <v>35</v>
      </c>
      <c r="D738" s="263">
        <v>325</v>
      </c>
      <c r="E738" s="263">
        <v>16</v>
      </c>
      <c r="F738" s="260" t="s">
        <v>150</v>
      </c>
      <c r="G738" s="234"/>
      <c r="H738" s="202">
        <v>0.8</v>
      </c>
    </row>
    <row r="739" spans="2:8" x14ac:dyDescent="0.25">
      <c r="B739" s="112" t="s">
        <v>2908</v>
      </c>
      <c r="C739" s="257" t="s">
        <v>215</v>
      </c>
      <c r="D739" s="257">
        <v>325</v>
      </c>
      <c r="E739" s="234">
        <v>17</v>
      </c>
      <c r="F739" s="234"/>
      <c r="G739" s="234">
        <v>0.93400000000000005</v>
      </c>
      <c r="H739" s="279">
        <v>1.206</v>
      </c>
    </row>
    <row r="740" spans="2:8" x14ac:dyDescent="0.25">
      <c r="B740" s="112" t="s">
        <v>2908</v>
      </c>
      <c r="C740" s="257" t="s">
        <v>255</v>
      </c>
      <c r="D740" s="257">
        <v>325</v>
      </c>
      <c r="E740" s="234">
        <v>18</v>
      </c>
      <c r="F740" s="234" t="s">
        <v>2948</v>
      </c>
      <c r="G740" s="234"/>
      <c r="H740" s="279">
        <v>50</v>
      </c>
    </row>
    <row r="741" spans="2:8" x14ac:dyDescent="0.25">
      <c r="B741" s="112" t="s">
        <v>2908</v>
      </c>
      <c r="C741" s="257" t="s">
        <v>215</v>
      </c>
      <c r="D741" s="257">
        <v>325</v>
      </c>
      <c r="E741" s="234">
        <v>18</v>
      </c>
      <c r="F741" s="234"/>
      <c r="G741" s="234">
        <v>11.63</v>
      </c>
      <c r="H741" s="279">
        <v>1.585</v>
      </c>
    </row>
    <row r="742" spans="2:8" x14ac:dyDescent="0.25">
      <c r="B742" s="112" t="s">
        <v>2908</v>
      </c>
      <c r="C742" s="97" t="s">
        <v>210</v>
      </c>
      <c r="D742" s="97">
        <v>325</v>
      </c>
      <c r="E742" s="97">
        <v>18</v>
      </c>
      <c r="F742" s="287" t="s">
        <v>2785</v>
      </c>
      <c r="G742" s="287" t="s">
        <v>3359</v>
      </c>
      <c r="H742" s="129">
        <v>1.53</v>
      </c>
    </row>
    <row r="743" spans="2:8" x14ac:dyDescent="0.25">
      <c r="B743" s="112" t="s">
        <v>2908</v>
      </c>
      <c r="C743" s="55">
        <v>20</v>
      </c>
      <c r="D743" s="263">
        <v>325</v>
      </c>
      <c r="E743" s="263">
        <v>19</v>
      </c>
      <c r="F743" s="260" t="s">
        <v>3003</v>
      </c>
      <c r="G743" s="234"/>
      <c r="H743" s="202">
        <v>0.28599999999999998</v>
      </c>
    </row>
    <row r="744" spans="2:8" x14ac:dyDescent="0.25">
      <c r="B744" s="112" t="s">
        <v>2908</v>
      </c>
      <c r="C744" s="269">
        <v>20</v>
      </c>
      <c r="D744" s="263">
        <v>325</v>
      </c>
      <c r="E744" s="263">
        <v>19</v>
      </c>
      <c r="F744" s="260" t="s">
        <v>3003</v>
      </c>
      <c r="G744" s="234"/>
      <c r="H744" s="202">
        <v>0.61799999999999999</v>
      </c>
    </row>
    <row r="745" spans="2:8" x14ac:dyDescent="0.25">
      <c r="B745" s="112" t="s">
        <v>2908</v>
      </c>
      <c r="C745" s="97" t="s">
        <v>215</v>
      </c>
      <c r="D745" s="97">
        <v>325</v>
      </c>
      <c r="E745" s="97">
        <v>20</v>
      </c>
      <c r="F745" s="287" t="s">
        <v>3360</v>
      </c>
      <c r="G745" s="287" t="s">
        <v>3361</v>
      </c>
      <c r="H745" s="129">
        <v>43.64</v>
      </c>
    </row>
    <row r="746" spans="2:8" x14ac:dyDescent="0.25">
      <c r="B746" s="97" t="s">
        <v>3169</v>
      </c>
      <c r="C746" s="97" t="s">
        <v>312</v>
      </c>
      <c r="D746" s="97">
        <v>325</v>
      </c>
      <c r="E746" s="97">
        <v>20</v>
      </c>
      <c r="F746" s="287" t="s">
        <v>234</v>
      </c>
      <c r="G746" s="287" t="s">
        <v>3482</v>
      </c>
      <c r="H746" s="129">
        <v>1.405</v>
      </c>
    </row>
    <row r="747" spans="2:8" x14ac:dyDescent="0.25">
      <c r="B747" s="112" t="s">
        <v>2908</v>
      </c>
      <c r="C747" s="234" t="s">
        <v>210</v>
      </c>
      <c r="D747" s="234">
        <v>325</v>
      </c>
      <c r="E747" s="234">
        <v>22</v>
      </c>
      <c r="F747" s="198" t="s">
        <v>2790</v>
      </c>
      <c r="G747" s="198">
        <v>2.35</v>
      </c>
      <c r="H747" s="201">
        <v>0.48</v>
      </c>
    </row>
    <row r="748" spans="2:8" x14ac:dyDescent="0.25">
      <c r="B748" s="112" t="s">
        <v>2908</v>
      </c>
      <c r="C748" s="55">
        <v>20</v>
      </c>
      <c r="D748" s="263">
        <v>325</v>
      </c>
      <c r="E748" s="263">
        <v>22</v>
      </c>
      <c r="F748" s="260" t="s">
        <v>3003</v>
      </c>
      <c r="G748" s="234"/>
      <c r="H748" s="202">
        <v>0.48499999999999999</v>
      </c>
    </row>
    <row r="749" spans="2:8" x14ac:dyDescent="0.25">
      <c r="B749" s="112" t="s">
        <v>2908</v>
      </c>
      <c r="C749" s="55" t="s">
        <v>154</v>
      </c>
      <c r="D749" s="263">
        <v>325</v>
      </c>
      <c r="E749" s="263">
        <v>22</v>
      </c>
      <c r="F749" s="260" t="s">
        <v>3003</v>
      </c>
      <c r="G749" s="234"/>
      <c r="H749" s="202">
        <f>0.149-0.085</f>
        <v>6.3999999999999987E-2</v>
      </c>
    </row>
    <row r="750" spans="2:8" x14ac:dyDescent="0.25">
      <c r="B750" s="112" t="s">
        <v>2908</v>
      </c>
      <c r="C750" s="97" t="s">
        <v>210</v>
      </c>
      <c r="D750" s="97">
        <v>325</v>
      </c>
      <c r="E750" s="97">
        <v>22</v>
      </c>
      <c r="F750" s="287" t="s">
        <v>2785</v>
      </c>
      <c r="G750" s="287" t="s">
        <v>3227</v>
      </c>
      <c r="H750" s="129">
        <v>1.9350000000000001</v>
      </c>
    </row>
    <row r="751" spans="2:8" x14ac:dyDescent="0.25">
      <c r="B751" s="112" t="s">
        <v>2908</v>
      </c>
      <c r="C751" s="97" t="s">
        <v>3362</v>
      </c>
      <c r="D751" s="97">
        <v>325</v>
      </c>
      <c r="E751" s="97">
        <v>22</v>
      </c>
      <c r="F751" s="287" t="s">
        <v>2785</v>
      </c>
      <c r="G751" s="287" t="s">
        <v>3363</v>
      </c>
      <c r="H751" s="129">
        <v>3.7149999999999999</v>
      </c>
    </row>
    <row r="752" spans="2:8" x14ac:dyDescent="0.25">
      <c r="B752" s="234" t="s">
        <v>3169</v>
      </c>
      <c r="C752" s="55" t="s">
        <v>2928</v>
      </c>
      <c r="D752" s="263">
        <v>325</v>
      </c>
      <c r="E752" s="263">
        <v>24</v>
      </c>
      <c r="F752" s="260" t="s">
        <v>3003</v>
      </c>
      <c r="G752" s="234"/>
      <c r="H752" s="202">
        <v>0.56000000000000005</v>
      </c>
    </row>
    <row r="753" spans="2:8" x14ac:dyDescent="0.25">
      <c r="B753" s="112" t="s">
        <v>2908</v>
      </c>
      <c r="C753" s="97" t="s">
        <v>210</v>
      </c>
      <c r="D753" s="97">
        <v>325</v>
      </c>
      <c r="E753" s="97">
        <v>24</v>
      </c>
      <c r="F753" s="287" t="s">
        <v>2785</v>
      </c>
      <c r="G753" s="287" t="s">
        <v>3364</v>
      </c>
      <c r="H753" s="129">
        <v>6.3449999999999998</v>
      </c>
    </row>
    <row r="754" spans="2:8" x14ac:dyDescent="0.25">
      <c r="B754" s="97" t="s">
        <v>3169</v>
      </c>
      <c r="C754" s="97" t="s">
        <v>314</v>
      </c>
      <c r="D754" s="97">
        <v>325</v>
      </c>
      <c r="E754" s="97">
        <v>24</v>
      </c>
      <c r="F754" s="287" t="s">
        <v>234</v>
      </c>
      <c r="G754" s="287" t="s">
        <v>3483</v>
      </c>
      <c r="H754" s="129">
        <v>0.90500000000000003</v>
      </c>
    </row>
    <row r="755" spans="2:8" x14ac:dyDescent="0.25">
      <c r="B755" s="97" t="s">
        <v>3169</v>
      </c>
      <c r="C755" s="97" t="s">
        <v>315</v>
      </c>
      <c r="D755" s="97">
        <v>325</v>
      </c>
      <c r="E755" s="97">
        <v>24</v>
      </c>
      <c r="F755" s="287" t="s">
        <v>234</v>
      </c>
      <c r="G755" s="287" t="s">
        <v>3484</v>
      </c>
      <c r="H755" s="129">
        <v>2.65</v>
      </c>
    </row>
    <row r="756" spans="2:8" x14ac:dyDescent="0.25">
      <c r="B756" s="97" t="s">
        <v>3169</v>
      </c>
      <c r="C756" s="97" t="s">
        <v>314</v>
      </c>
      <c r="D756" s="97">
        <v>325</v>
      </c>
      <c r="E756" s="97">
        <v>25</v>
      </c>
      <c r="F756" s="287" t="s">
        <v>234</v>
      </c>
      <c r="G756" s="287" t="s">
        <v>3485</v>
      </c>
      <c r="H756" s="129">
        <v>1.7</v>
      </c>
    </row>
    <row r="757" spans="2:8" x14ac:dyDescent="0.25">
      <c r="B757" s="112" t="s">
        <v>2908</v>
      </c>
      <c r="C757" s="97">
        <v>20</v>
      </c>
      <c r="D757" s="97">
        <v>325</v>
      </c>
      <c r="E757" s="97">
        <v>26</v>
      </c>
      <c r="F757" s="287" t="s">
        <v>2785</v>
      </c>
      <c r="G757" s="287" t="s">
        <v>3367</v>
      </c>
      <c r="H757" s="129">
        <v>1.78</v>
      </c>
    </row>
    <row r="758" spans="2:8" x14ac:dyDescent="0.25">
      <c r="B758" s="112" t="s">
        <v>2908</v>
      </c>
      <c r="C758" s="97">
        <v>20</v>
      </c>
      <c r="D758" s="97">
        <v>325</v>
      </c>
      <c r="E758" s="97">
        <v>28</v>
      </c>
      <c r="F758" s="287" t="s">
        <v>2785</v>
      </c>
      <c r="G758" s="287" t="s">
        <v>3078</v>
      </c>
      <c r="H758" s="129">
        <v>1.78</v>
      </c>
    </row>
    <row r="759" spans="2:8" x14ac:dyDescent="0.25">
      <c r="B759" s="234" t="s">
        <v>3169</v>
      </c>
      <c r="C759" s="55" t="s">
        <v>2988</v>
      </c>
      <c r="D759" s="263">
        <v>325</v>
      </c>
      <c r="E759" s="263">
        <v>30</v>
      </c>
      <c r="F759" s="260" t="s">
        <v>3003</v>
      </c>
      <c r="G759" s="234"/>
      <c r="H759" s="202">
        <v>5.5250000000000004</v>
      </c>
    </row>
    <row r="760" spans="2:8" x14ac:dyDescent="0.25">
      <c r="B760" s="112" t="s">
        <v>2908</v>
      </c>
      <c r="C760" s="97" t="s">
        <v>210</v>
      </c>
      <c r="D760" s="97">
        <v>325</v>
      </c>
      <c r="E760" s="97">
        <v>30</v>
      </c>
      <c r="F760" s="287" t="s">
        <v>2785</v>
      </c>
      <c r="G760" s="287" t="s">
        <v>3368</v>
      </c>
      <c r="H760" s="129">
        <v>8.68</v>
      </c>
    </row>
    <row r="761" spans="2:8" x14ac:dyDescent="0.25">
      <c r="B761" s="234" t="s">
        <v>3169</v>
      </c>
      <c r="C761" s="269" t="s">
        <v>2928</v>
      </c>
      <c r="D761" s="263">
        <v>325</v>
      </c>
      <c r="E761" s="263">
        <v>32</v>
      </c>
      <c r="F761" s="260" t="s">
        <v>3003</v>
      </c>
      <c r="G761" s="234"/>
      <c r="H761" s="202">
        <v>1.58</v>
      </c>
    </row>
    <row r="762" spans="2:8" x14ac:dyDescent="0.25">
      <c r="B762" s="234" t="s">
        <v>3169</v>
      </c>
      <c r="C762" s="269" t="s">
        <v>2983</v>
      </c>
      <c r="D762" s="263">
        <v>325</v>
      </c>
      <c r="E762" s="263">
        <v>32</v>
      </c>
      <c r="F762" s="260" t="s">
        <v>3003</v>
      </c>
      <c r="G762" s="234"/>
      <c r="H762" s="202">
        <v>0.96699999999999997</v>
      </c>
    </row>
    <row r="763" spans="2:8" x14ac:dyDescent="0.25">
      <c r="B763" s="112" t="s">
        <v>2908</v>
      </c>
      <c r="C763" s="97" t="s">
        <v>210</v>
      </c>
      <c r="D763" s="97">
        <v>325</v>
      </c>
      <c r="E763" s="97">
        <v>32</v>
      </c>
      <c r="F763" s="287" t="s">
        <v>2785</v>
      </c>
      <c r="G763" s="287" t="s">
        <v>3369</v>
      </c>
      <c r="H763" s="129">
        <v>5.46</v>
      </c>
    </row>
    <row r="764" spans="2:8" x14ac:dyDescent="0.25">
      <c r="B764" s="97" t="s">
        <v>3169</v>
      </c>
      <c r="C764" s="97" t="s">
        <v>314</v>
      </c>
      <c r="D764" s="97">
        <v>325</v>
      </c>
      <c r="E764" s="97">
        <v>32</v>
      </c>
      <c r="F764" s="287" t="s">
        <v>234</v>
      </c>
      <c r="G764" s="287" t="s">
        <v>3486</v>
      </c>
      <c r="H764" s="129">
        <v>1.66</v>
      </c>
    </row>
    <row r="765" spans="2:8" x14ac:dyDescent="0.25">
      <c r="B765" s="97" t="s">
        <v>3169</v>
      </c>
      <c r="C765" s="97" t="s">
        <v>315</v>
      </c>
      <c r="D765" s="97">
        <v>325</v>
      </c>
      <c r="E765" s="97">
        <v>34</v>
      </c>
      <c r="F765" s="287" t="s">
        <v>234</v>
      </c>
      <c r="G765" s="287" t="s">
        <v>3487</v>
      </c>
      <c r="H765" s="129">
        <v>5.9450000000000003</v>
      </c>
    </row>
    <row r="766" spans="2:8" x14ac:dyDescent="0.25">
      <c r="B766" s="234" t="s">
        <v>3169</v>
      </c>
      <c r="C766" s="55" t="s">
        <v>2928</v>
      </c>
      <c r="D766" s="263">
        <v>325</v>
      </c>
      <c r="E766" s="263">
        <v>36</v>
      </c>
      <c r="F766" s="260" t="s">
        <v>3003</v>
      </c>
      <c r="G766" s="234"/>
      <c r="H766" s="202">
        <v>0.72799999999999998</v>
      </c>
    </row>
    <row r="767" spans="2:8" x14ac:dyDescent="0.25">
      <c r="B767" s="112" t="s">
        <v>2908</v>
      </c>
      <c r="C767" s="97" t="s">
        <v>212</v>
      </c>
      <c r="D767" s="97">
        <v>325</v>
      </c>
      <c r="E767" s="97">
        <v>36</v>
      </c>
      <c r="F767" s="287" t="s">
        <v>2785</v>
      </c>
      <c r="G767" s="287" t="s">
        <v>3370</v>
      </c>
      <c r="H767" s="129">
        <v>9.01</v>
      </c>
    </row>
    <row r="768" spans="2:8" x14ac:dyDescent="0.25">
      <c r="B768" s="97" t="s">
        <v>3169</v>
      </c>
      <c r="C768" s="97" t="s">
        <v>314</v>
      </c>
      <c r="D768" s="97">
        <v>325</v>
      </c>
      <c r="E768" s="97">
        <v>38</v>
      </c>
      <c r="F768" s="287" t="s">
        <v>234</v>
      </c>
      <c r="G768" s="287" t="s">
        <v>3237</v>
      </c>
      <c r="H768" s="129">
        <v>1.81</v>
      </c>
    </row>
    <row r="769" spans="2:8" x14ac:dyDescent="0.25">
      <c r="B769" s="97" t="s">
        <v>3169</v>
      </c>
      <c r="C769" s="97" t="s">
        <v>314</v>
      </c>
      <c r="D769" s="97">
        <v>325</v>
      </c>
      <c r="E769" s="97">
        <v>42</v>
      </c>
      <c r="F769" s="287" t="s">
        <v>234</v>
      </c>
      <c r="G769" s="287" t="s">
        <v>3488</v>
      </c>
      <c r="H769" s="129">
        <v>1.155</v>
      </c>
    </row>
    <row r="770" spans="2:8" x14ac:dyDescent="0.25">
      <c r="B770" s="112" t="s">
        <v>2908</v>
      </c>
      <c r="C770" s="55" t="s">
        <v>154</v>
      </c>
      <c r="D770" s="263">
        <v>325</v>
      </c>
      <c r="E770" s="263">
        <v>45</v>
      </c>
      <c r="F770" s="260" t="s">
        <v>150</v>
      </c>
      <c r="G770" s="234"/>
      <c r="H770" s="202">
        <f>6.342-2.094</f>
        <v>4.2479999999999993</v>
      </c>
    </row>
    <row r="771" spans="2:8" x14ac:dyDescent="0.25">
      <c r="B771" s="234" t="s">
        <v>3169</v>
      </c>
      <c r="C771" s="55" t="s">
        <v>2988</v>
      </c>
      <c r="D771" s="263">
        <v>325</v>
      </c>
      <c r="E771" s="263">
        <v>45</v>
      </c>
      <c r="F771" s="260" t="s">
        <v>3003</v>
      </c>
      <c r="G771" s="234"/>
      <c r="H771" s="256">
        <f>1.45+1.49-1.48</f>
        <v>1.46</v>
      </c>
    </row>
    <row r="772" spans="2:8" x14ac:dyDescent="0.25">
      <c r="B772" s="97" t="s">
        <v>3169</v>
      </c>
      <c r="C772" s="97" t="s">
        <v>314</v>
      </c>
      <c r="D772" s="97">
        <v>325</v>
      </c>
      <c r="E772" s="97">
        <v>45</v>
      </c>
      <c r="F772" s="287" t="s">
        <v>234</v>
      </c>
      <c r="G772" s="287" t="s">
        <v>3489</v>
      </c>
      <c r="H772" s="129">
        <v>0.88500000000000001</v>
      </c>
    </row>
    <row r="773" spans="2:8" x14ac:dyDescent="0.25">
      <c r="B773" s="112" t="s">
        <v>2908</v>
      </c>
      <c r="C773" s="97" t="s">
        <v>3063</v>
      </c>
      <c r="D773" s="97">
        <v>325</v>
      </c>
      <c r="E773" s="97">
        <v>50</v>
      </c>
      <c r="F773" s="287" t="s">
        <v>2785</v>
      </c>
      <c r="G773" s="287" t="s">
        <v>3371</v>
      </c>
      <c r="H773" s="129">
        <v>2.88</v>
      </c>
    </row>
    <row r="774" spans="2:8" x14ac:dyDescent="0.25">
      <c r="B774" s="112" t="s">
        <v>2908</v>
      </c>
      <c r="C774" s="97" t="s">
        <v>3322</v>
      </c>
      <c r="D774" s="97">
        <v>325</v>
      </c>
      <c r="E774" s="97">
        <v>65</v>
      </c>
      <c r="F774" s="287" t="s">
        <v>2785</v>
      </c>
      <c r="G774" s="287" t="s">
        <v>3372</v>
      </c>
      <c r="H774" s="129">
        <v>13.46</v>
      </c>
    </row>
    <row r="775" spans="2:8" x14ac:dyDescent="0.25">
      <c r="B775" s="234" t="s">
        <v>202</v>
      </c>
      <c r="C775" s="112">
        <v>20</v>
      </c>
      <c r="D775" s="51">
        <v>325</v>
      </c>
      <c r="E775" s="63" t="s">
        <v>238</v>
      </c>
      <c r="F775" s="4" t="s">
        <v>225</v>
      </c>
      <c r="G775" s="4" t="s">
        <v>201</v>
      </c>
      <c r="H775" s="271">
        <v>2.25</v>
      </c>
    </row>
    <row r="776" spans="2:8" x14ac:dyDescent="0.25">
      <c r="B776" s="234" t="s">
        <v>202</v>
      </c>
      <c r="C776" s="112" t="s">
        <v>210</v>
      </c>
      <c r="D776" s="237">
        <v>325</v>
      </c>
      <c r="E776" s="24" t="s">
        <v>239</v>
      </c>
      <c r="F776" s="77" t="s">
        <v>226</v>
      </c>
      <c r="G776" s="77" t="s">
        <v>2782</v>
      </c>
      <c r="H776" s="272">
        <v>4.28</v>
      </c>
    </row>
    <row r="777" spans="2:8" x14ac:dyDescent="0.25">
      <c r="B777" s="112" t="s">
        <v>2908</v>
      </c>
      <c r="C777" s="97">
        <v>20</v>
      </c>
      <c r="D777" s="97">
        <v>325</v>
      </c>
      <c r="E777" s="97"/>
      <c r="F777" s="287" t="s">
        <v>2785</v>
      </c>
      <c r="G777" s="287" t="s">
        <v>3365</v>
      </c>
      <c r="H777" s="129">
        <v>1.99</v>
      </c>
    </row>
    <row r="778" spans="2:8" x14ac:dyDescent="0.25">
      <c r="B778" s="112" t="s">
        <v>2908</v>
      </c>
      <c r="C778" s="97">
        <v>20</v>
      </c>
      <c r="D778" s="97">
        <v>325</v>
      </c>
      <c r="E778" s="97"/>
      <c r="F778" s="287" t="s">
        <v>2785</v>
      </c>
      <c r="G778" s="287" t="s">
        <v>3366</v>
      </c>
      <c r="H778" s="129">
        <v>2.41</v>
      </c>
    </row>
    <row r="779" spans="2:8" x14ac:dyDescent="0.25">
      <c r="B779" s="234" t="s">
        <v>3548</v>
      </c>
      <c r="C779" s="97" t="s">
        <v>3373</v>
      </c>
      <c r="D779" s="97">
        <v>339</v>
      </c>
      <c r="E779" s="97">
        <v>12.2</v>
      </c>
      <c r="F779" s="287"/>
      <c r="G779" s="287" t="s">
        <v>3374</v>
      </c>
      <c r="H779" s="129">
        <v>16.14</v>
      </c>
    </row>
    <row r="780" spans="2:8" x14ac:dyDescent="0.25">
      <c r="B780" s="112" t="s">
        <v>2908</v>
      </c>
      <c r="C780" s="97" t="s">
        <v>210</v>
      </c>
      <c r="D780" s="97">
        <v>351</v>
      </c>
      <c r="E780" s="97">
        <v>16</v>
      </c>
      <c r="F780" s="287" t="s">
        <v>2785</v>
      </c>
      <c r="G780" s="287" t="s">
        <v>3375</v>
      </c>
      <c r="H780" s="129">
        <v>5.4450000000000003</v>
      </c>
    </row>
    <row r="781" spans="2:8" x14ac:dyDescent="0.25">
      <c r="B781" s="97" t="s">
        <v>3169</v>
      </c>
      <c r="C781" s="97" t="s">
        <v>314</v>
      </c>
      <c r="D781" s="97">
        <v>351</v>
      </c>
      <c r="E781" s="97">
        <v>30</v>
      </c>
      <c r="F781" s="287" t="s">
        <v>234</v>
      </c>
      <c r="G781" s="287" t="s">
        <v>3490</v>
      </c>
      <c r="H781" s="129">
        <v>3.35</v>
      </c>
    </row>
    <row r="782" spans="2:8" x14ac:dyDescent="0.25">
      <c r="B782" s="234" t="s">
        <v>3169</v>
      </c>
      <c r="C782" s="55" t="s">
        <v>2990</v>
      </c>
      <c r="D782" s="263">
        <v>351</v>
      </c>
      <c r="E782" s="263">
        <v>50</v>
      </c>
      <c r="F782" s="260" t="s">
        <v>3007</v>
      </c>
      <c r="G782" s="234"/>
      <c r="H782" s="202">
        <v>2.8490000000000002</v>
      </c>
    </row>
    <row r="783" spans="2:8" x14ac:dyDescent="0.25">
      <c r="B783" s="234" t="s">
        <v>3169</v>
      </c>
      <c r="C783" s="55" t="s">
        <v>2928</v>
      </c>
      <c r="D783" s="263">
        <v>351</v>
      </c>
      <c r="E783" s="263">
        <v>50</v>
      </c>
      <c r="F783" s="260" t="s">
        <v>3003</v>
      </c>
      <c r="G783" s="234"/>
      <c r="H783" s="202">
        <v>2.415</v>
      </c>
    </row>
    <row r="784" spans="2:8" x14ac:dyDescent="0.25">
      <c r="B784" s="97" t="s">
        <v>3169</v>
      </c>
      <c r="C784" s="97" t="s">
        <v>314</v>
      </c>
      <c r="D784" s="97">
        <v>351</v>
      </c>
      <c r="E784" s="97">
        <v>50</v>
      </c>
      <c r="F784" s="287" t="s">
        <v>234</v>
      </c>
      <c r="G784" s="287" t="s">
        <v>3491</v>
      </c>
      <c r="H784" s="129">
        <v>2.44</v>
      </c>
    </row>
    <row r="785" spans="2:8" x14ac:dyDescent="0.25">
      <c r="B785" s="97" t="s">
        <v>3169</v>
      </c>
      <c r="C785" s="97" t="s">
        <v>3492</v>
      </c>
      <c r="D785" s="97">
        <v>355</v>
      </c>
      <c r="E785" s="97">
        <v>51</v>
      </c>
      <c r="F785" s="287" t="s">
        <v>234</v>
      </c>
      <c r="G785" s="287" t="s">
        <v>3493</v>
      </c>
      <c r="H785" s="129">
        <v>0.38500000000000001</v>
      </c>
    </row>
    <row r="786" spans="2:8" x14ac:dyDescent="0.2">
      <c r="B786" s="134" t="s">
        <v>3093</v>
      </c>
      <c r="C786" s="134" t="s">
        <v>249</v>
      </c>
      <c r="D786" s="134">
        <v>355.6</v>
      </c>
      <c r="E786" s="134">
        <v>2.54</v>
      </c>
      <c r="F786" s="22"/>
      <c r="G786" s="22" t="s">
        <v>3141</v>
      </c>
      <c r="H786" s="181">
        <v>0.1</v>
      </c>
    </row>
    <row r="787" spans="2:8" x14ac:dyDescent="0.2">
      <c r="B787" s="134" t="s">
        <v>3093</v>
      </c>
      <c r="C787" s="134" t="s">
        <v>249</v>
      </c>
      <c r="D787" s="134">
        <v>355.6</v>
      </c>
      <c r="E787" s="134">
        <v>4.78</v>
      </c>
      <c r="F787" s="22"/>
      <c r="G787" s="22" t="s">
        <v>3142</v>
      </c>
      <c r="H787" s="181">
        <v>0.52500000000000002</v>
      </c>
    </row>
    <row r="788" spans="2:8" x14ac:dyDescent="0.25">
      <c r="B788" s="112" t="s">
        <v>2908</v>
      </c>
      <c r="C788" s="97" t="s">
        <v>3063</v>
      </c>
      <c r="D788" s="97">
        <v>355.6</v>
      </c>
      <c r="E788" s="97">
        <v>12</v>
      </c>
      <c r="F788" s="287" t="s">
        <v>2785</v>
      </c>
      <c r="G788" s="287" t="s">
        <v>3376</v>
      </c>
      <c r="H788" s="129">
        <v>4.45</v>
      </c>
    </row>
    <row r="789" spans="2:8" x14ac:dyDescent="0.25">
      <c r="B789" s="112" t="s">
        <v>2908</v>
      </c>
      <c r="C789" s="97" t="s">
        <v>3063</v>
      </c>
      <c r="D789" s="97">
        <v>355.6</v>
      </c>
      <c r="E789" s="97">
        <v>12</v>
      </c>
      <c r="F789" s="287" t="s">
        <v>2785</v>
      </c>
      <c r="G789" s="287" t="s">
        <v>3377</v>
      </c>
      <c r="H789" s="129">
        <v>1.01</v>
      </c>
    </row>
    <row r="790" spans="2:8" x14ac:dyDescent="0.2">
      <c r="B790" s="134" t="s">
        <v>202</v>
      </c>
      <c r="C790" s="134" t="s">
        <v>3063</v>
      </c>
      <c r="D790" s="134">
        <v>355.6</v>
      </c>
      <c r="E790" s="134">
        <v>24</v>
      </c>
      <c r="F790" s="22"/>
      <c r="G790" s="22" t="s">
        <v>3068</v>
      </c>
      <c r="H790" s="181">
        <v>0.625</v>
      </c>
    </row>
    <row r="791" spans="2:8" x14ac:dyDescent="0.25">
      <c r="B791" s="187" t="s">
        <v>202</v>
      </c>
      <c r="C791" s="112">
        <v>20</v>
      </c>
      <c r="D791" s="112">
        <v>377</v>
      </c>
      <c r="E791" s="112">
        <v>6</v>
      </c>
      <c r="F791" s="187" t="s">
        <v>2794</v>
      </c>
      <c r="G791" s="234">
        <v>10.06</v>
      </c>
      <c r="H791" s="202">
        <v>0.55300000000000005</v>
      </c>
    </row>
    <row r="792" spans="2:8" x14ac:dyDescent="0.25">
      <c r="B792" s="187" t="s">
        <v>202</v>
      </c>
      <c r="C792" s="112">
        <v>20</v>
      </c>
      <c r="D792" s="112">
        <v>377</v>
      </c>
      <c r="E792" s="112">
        <v>7</v>
      </c>
      <c r="F792" s="187" t="s">
        <v>2794</v>
      </c>
      <c r="G792" s="234"/>
      <c r="H792" s="277">
        <v>0.73499999999999999</v>
      </c>
    </row>
    <row r="793" spans="2:8" x14ac:dyDescent="0.25">
      <c r="B793" s="234" t="s">
        <v>202</v>
      </c>
      <c r="C793" s="112">
        <v>20</v>
      </c>
      <c r="D793" s="112">
        <v>377</v>
      </c>
      <c r="E793" s="112">
        <v>8</v>
      </c>
      <c r="F793" s="77" t="s">
        <v>225</v>
      </c>
      <c r="G793" s="77">
        <v>12</v>
      </c>
      <c r="H793" s="272">
        <v>2.62</v>
      </c>
    </row>
    <row r="794" spans="2:8" x14ac:dyDescent="0.25">
      <c r="B794" s="97" t="s">
        <v>202</v>
      </c>
      <c r="C794" s="97" t="s">
        <v>210</v>
      </c>
      <c r="D794" s="97">
        <v>377</v>
      </c>
      <c r="E794" s="97">
        <v>8</v>
      </c>
      <c r="F794" s="97" t="s">
        <v>2915</v>
      </c>
      <c r="G794" s="97"/>
      <c r="H794" s="278">
        <v>37</v>
      </c>
    </row>
    <row r="795" spans="2:8" x14ac:dyDescent="0.25">
      <c r="B795" s="97" t="s">
        <v>202</v>
      </c>
      <c r="C795" s="97">
        <v>20</v>
      </c>
      <c r="D795" s="97">
        <v>377</v>
      </c>
      <c r="E795" s="97">
        <v>8</v>
      </c>
      <c r="F795" s="97" t="s">
        <v>2916</v>
      </c>
      <c r="G795" s="97"/>
      <c r="H795" s="278">
        <v>3.03</v>
      </c>
    </row>
    <row r="796" spans="2:8" x14ac:dyDescent="0.25">
      <c r="B796" s="112" t="s">
        <v>2908</v>
      </c>
      <c r="C796" s="234" t="s">
        <v>210</v>
      </c>
      <c r="D796" s="234">
        <v>377</v>
      </c>
      <c r="E796" s="234">
        <v>9</v>
      </c>
      <c r="F796" s="198" t="s">
        <v>290</v>
      </c>
      <c r="G796" s="198" t="s">
        <v>2828</v>
      </c>
      <c r="H796" s="201">
        <v>12.2</v>
      </c>
    </row>
    <row r="797" spans="2:8" x14ac:dyDescent="0.25">
      <c r="B797" s="112" t="s">
        <v>2908</v>
      </c>
      <c r="C797" s="234" t="s">
        <v>210</v>
      </c>
      <c r="D797" s="234">
        <v>377</v>
      </c>
      <c r="E797" s="234">
        <v>9</v>
      </c>
      <c r="F797" s="198" t="s">
        <v>2791</v>
      </c>
      <c r="G797" s="198" t="s">
        <v>2828</v>
      </c>
      <c r="H797" s="201">
        <v>42</v>
      </c>
    </row>
    <row r="798" spans="2:8" x14ac:dyDescent="0.25">
      <c r="B798" s="112" t="s">
        <v>2908</v>
      </c>
      <c r="C798" s="234" t="s">
        <v>210</v>
      </c>
      <c r="D798" s="234">
        <v>377</v>
      </c>
      <c r="E798" s="234">
        <v>9</v>
      </c>
      <c r="F798" s="198" t="s">
        <v>286</v>
      </c>
      <c r="G798" s="198" t="s">
        <v>2859</v>
      </c>
      <c r="H798" s="201">
        <v>33.020000000000003</v>
      </c>
    </row>
    <row r="799" spans="2:8" x14ac:dyDescent="0.25">
      <c r="B799" s="112" t="s">
        <v>2908</v>
      </c>
      <c r="C799" s="234" t="s">
        <v>210</v>
      </c>
      <c r="D799" s="234">
        <v>377</v>
      </c>
      <c r="E799" s="234">
        <v>9</v>
      </c>
      <c r="F799" s="198" t="s">
        <v>2785</v>
      </c>
      <c r="G799" s="198" t="s">
        <v>2860</v>
      </c>
      <c r="H799" s="201">
        <v>3.4</v>
      </c>
    </row>
    <row r="800" spans="2:8" x14ac:dyDescent="0.25">
      <c r="B800" s="112" t="s">
        <v>2908</v>
      </c>
      <c r="C800" s="106">
        <v>20</v>
      </c>
      <c r="D800" s="234">
        <v>377</v>
      </c>
      <c r="E800" s="234">
        <v>9</v>
      </c>
      <c r="F800" s="198" t="s">
        <v>2785</v>
      </c>
      <c r="G800" s="198">
        <v>12.26</v>
      </c>
      <c r="H800" s="201">
        <v>1.05</v>
      </c>
    </row>
    <row r="801" spans="2:8" x14ac:dyDescent="0.25">
      <c r="B801" s="112" t="s">
        <v>2908</v>
      </c>
      <c r="C801" s="106"/>
      <c r="D801" s="106">
        <v>377</v>
      </c>
      <c r="E801" s="106">
        <v>9</v>
      </c>
      <c r="F801" s="112" t="s">
        <v>2785</v>
      </c>
      <c r="G801" s="234">
        <v>11.75</v>
      </c>
      <c r="H801" s="202">
        <v>2.6579999999999999</v>
      </c>
    </row>
    <row r="802" spans="2:8" x14ac:dyDescent="0.2">
      <c r="B802" s="234" t="s">
        <v>3547</v>
      </c>
      <c r="C802" s="234" t="s">
        <v>214</v>
      </c>
      <c r="D802" s="234">
        <v>377</v>
      </c>
      <c r="E802" s="234">
        <v>9</v>
      </c>
      <c r="F802" s="234"/>
      <c r="G802" s="245" t="s">
        <v>2907</v>
      </c>
      <c r="H802" s="274">
        <v>12</v>
      </c>
    </row>
    <row r="803" spans="2:8" x14ac:dyDescent="0.2">
      <c r="B803" s="134" t="s">
        <v>202</v>
      </c>
      <c r="C803" s="134">
        <v>20</v>
      </c>
      <c r="D803" s="134">
        <v>377</v>
      </c>
      <c r="E803" s="134">
        <v>9</v>
      </c>
      <c r="F803" s="22" t="s">
        <v>2794</v>
      </c>
      <c r="G803" s="22" t="s">
        <v>3069</v>
      </c>
      <c r="H803" s="181">
        <v>34.954999999999998</v>
      </c>
    </row>
    <row r="804" spans="2:8" x14ac:dyDescent="0.25">
      <c r="B804" s="112" t="s">
        <v>2908</v>
      </c>
      <c r="C804" s="234" t="s">
        <v>210</v>
      </c>
      <c r="D804" s="234">
        <v>377</v>
      </c>
      <c r="E804" s="106">
        <v>10</v>
      </c>
      <c r="F804" s="198" t="s">
        <v>2785</v>
      </c>
      <c r="G804" s="198">
        <v>9.92</v>
      </c>
      <c r="H804" s="201">
        <v>0.92</v>
      </c>
    </row>
    <row r="805" spans="2:8" x14ac:dyDescent="0.25">
      <c r="B805" s="112" t="s">
        <v>2908</v>
      </c>
      <c r="C805" s="106">
        <v>20</v>
      </c>
      <c r="D805" s="234">
        <v>377</v>
      </c>
      <c r="E805" s="106">
        <v>10</v>
      </c>
      <c r="F805" s="198" t="s">
        <v>2785</v>
      </c>
      <c r="G805" s="198">
        <v>9.9700000000000006</v>
      </c>
      <c r="H805" s="201">
        <v>0.92</v>
      </c>
    </row>
    <row r="806" spans="2:8" x14ac:dyDescent="0.25">
      <c r="B806" s="187" t="s">
        <v>202</v>
      </c>
      <c r="C806" s="187">
        <v>20</v>
      </c>
      <c r="D806" s="187">
        <v>377</v>
      </c>
      <c r="E806" s="187">
        <v>10</v>
      </c>
      <c r="F806" s="112" t="s">
        <v>2794</v>
      </c>
      <c r="G806" s="234"/>
      <c r="H806" s="277">
        <v>4.3440000000000003</v>
      </c>
    </row>
    <row r="807" spans="2:8" x14ac:dyDescent="0.25">
      <c r="B807" s="112" t="s">
        <v>2908</v>
      </c>
      <c r="C807" s="112"/>
      <c r="D807" s="112">
        <v>377</v>
      </c>
      <c r="E807" s="112">
        <v>10</v>
      </c>
      <c r="F807" s="112" t="s">
        <v>2785</v>
      </c>
      <c r="G807" s="70">
        <v>11.2</v>
      </c>
      <c r="H807" s="202">
        <v>2.0270000000000001</v>
      </c>
    </row>
    <row r="808" spans="2:8" x14ac:dyDescent="0.25">
      <c r="B808" s="187" t="s">
        <v>2901</v>
      </c>
      <c r="C808" s="234"/>
      <c r="D808" s="234">
        <v>377</v>
      </c>
      <c r="E808" s="234">
        <v>10</v>
      </c>
      <c r="F808" s="244"/>
      <c r="G808" s="234"/>
      <c r="H808" s="274">
        <v>21</v>
      </c>
    </row>
    <row r="809" spans="2:8" x14ac:dyDescent="0.25">
      <c r="B809" s="97" t="s">
        <v>202</v>
      </c>
      <c r="C809" s="97" t="s">
        <v>210</v>
      </c>
      <c r="D809" s="97">
        <v>377</v>
      </c>
      <c r="E809" s="97">
        <v>10</v>
      </c>
      <c r="F809" s="97" t="s">
        <v>2794</v>
      </c>
      <c r="G809" s="97"/>
      <c r="H809" s="278">
        <v>35.79</v>
      </c>
    </row>
    <row r="810" spans="2:8" x14ac:dyDescent="0.25">
      <c r="B810" s="234" t="s">
        <v>3169</v>
      </c>
      <c r="C810" s="55" t="s">
        <v>2930</v>
      </c>
      <c r="D810" s="263">
        <v>377</v>
      </c>
      <c r="E810" s="263">
        <v>10</v>
      </c>
      <c r="F810" s="260" t="s">
        <v>229</v>
      </c>
      <c r="G810" s="234"/>
      <c r="H810" s="202">
        <v>5.23</v>
      </c>
    </row>
    <row r="811" spans="2:8" x14ac:dyDescent="0.25">
      <c r="B811" s="112" t="s">
        <v>2908</v>
      </c>
      <c r="C811" s="97" t="s">
        <v>210</v>
      </c>
      <c r="D811" s="97">
        <v>377</v>
      </c>
      <c r="E811" s="97">
        <v>10</v>
      </c>
      <c r="F811" s="287" t="s">
        <v>2785</v>
      </c>
      <c r="G811" s="287" t="s">
        <v>3378</v>
      </c>
      <c r="H811" s="129">
        <v>0.86</v>
      </c>
    </row>
    <row r="812" spans="2:8" x14ac:dyDescent="0.25">
      <c r="B812" s="112" t="s">
        <v>2908</v>
      </c>
      <c r="C812" s="97">
        <v>20</v>
      </c>
      <c r="D812" s="97">
        <v>377</v>
      </c>
      <c r="E812" s="97">
        <v>10</v>
      </c>
      <c r="F812" s="287" t="s">
        <v>2785</v>
      </c>
      <c r="G812" s="287" t="s">
        <v>3379</v>
      </c>
      <c r="H812" s="129">
        <v>0.155</v>
      </c>
    </row>
    <row r="813" spans="2:8" x14ac:dyDescent="0.25">
      <c r="B813" s="112" t="s">
        <v>2908</v>
      </c>
      <c r="C813" s="257"/>
      <c r="D813" s="257">
        <v>377</v>
      </c>
      <c r="E813" s="234">
        <v>11</v>
      </c>
      <c r="F813" s="234"/>
      <c r="G813" s="234" t="s">
        <v>2974</v>
      </c>
      <c r="H813" s="279">
        <v>2.0350000000000001</v>
      </c>
    </row>
    <row r="814" spans="2:8" x14ac:dyDescent="0.25">
      <c r="B814" s="112" t="s">
        <v>2908</v>
      </c>
      <c r="C814" s="97">
        <v>20</v>
      </c>
      <c r="D814" s="97">
        <v>377</v>
      </c>
      <c r="E814" s="97">
        <v>11</v>
      </c>
      <c r="F814" s="287" t="s">
        <v>2785</v>
      </c>
      <c r="G814" s="287" t="s">
        <v>3380</v>
      </c>
      <c r="H814" s="129">
        <v>0.82</v>
      </c>
    </row>
    <row r="815" spans="2:8" x14ac:dyDescent="0.25">
      <c r="B815" s="234" t="s">
        <v>3169</v>
      </c>
      <c r="C815" s="55" t="s">
        <v>2930</v>
      </c>
      <c r="D815" s="263">
        <v>377</v>
      </c>
      <c r="E815" s="263">
        <v>12</v>
      </c>
      <c r="F815" s="260" t="s">
        <v>229</v>
      </c>
      <c r="G815" s="234"/>
      <c r="H815" s="202">
        <v>5.8470000000000004</v>
      </c>
    </row>
    <row r="816" spans="2:8" x14ac:dyDescent="0.25">
      <c r="B816" s="112" t="s">
        <v>2908</v>
      </c>
      <c r="C816" s="55" t="s">
        <v>154</v>
      </c>
      <c r="D816" s="263">
        <v>377</v>
      </c>
      <c r="E816" s="263">
        <v>12</v>
      </c>
      <c r="F816" s="260" t="s">
        <v>150</v>
      </c>
      <c r="G816" s="234"/>
      <c r="H816" s="202">
        <v>3.4260000000000002</v>
      </c>
    </row>
    <row r="817" spans="2:8" x14ac:dyDescent="0.25">
      <c r="B817" s="112" t="s">
        <v>2908</v>
      </c>
      <c r="C817" s="97">
        <v>20</v>
      </c>
      <c r="D817" s="97">
        <v>377</v>
      </c>
      <c r="E817" s="97">
        <v>12</v>
      </c>
      <c r="F817" s="287" t="s">
        <v>2785</v>
      </c>
      <c r="G817" s="287" t="s">
        <v>3381</v>
      </c>
      <c r="H817" s="129">
        <v>1.19</v>
      </c>
    </row>
    <row r="818" spans="2:8" x14ac:dyDescent="0.25">
      <c r="B818" s="234" t="s">
        <v>3169</v>
      </c>
      <c r="C818" s="55" t="s">
        <v>2983</v>
      </c>
      <c r="D818" s="263">
        <v>377</v>
      </c>
      <c r="E818" s="263">
        <v>13</v>
      </c>
      <c r="F818" s="260" t="s">
        <v>3003</v>
      </c>
      <c r="G818" s="234"/>
      <c r="H818" s="202">
        <v>1.4179999999999999</v>
      </c>
    </row>
    <row r="819" spans="2:8" x14ac:dyDescent="0.25">
      <c r="B819" s="97" t="s">
        <v>3169</v>
      </c>
      <c r="C819" s="97">
        <v>20</v>
      </c>
      <c r="D819" s="97">
        <v>377</v>
      </c>
      <c r="E819" s="97">
        <v>13</v>
      </c>
      <c r="F819" s="287" t="s">
        <v>3494</v>
      </c>
      <c r="G819" s="287" t="s">
        <v>3495</v>
      </c>
      <c r="H819" s="129">
        <v>1.875</v>
      </c>
    </row>
    <row r="820" spans="2:8" x14ac:dyDescent="0.25">
      <c r="B820" s="234" t="s">
        <v>3169</v>
      </c>
      <c r="C820" s="55" t="s">
        <v>2983</v>
      </c>
      <c r="D820" s="263">
        <v>377</v>
      </c>
      <c r="E820" s="263">
        <v>14</v>
      </c>
      <c r="F820" s="260" t="s">
        <v>3003</v>
      </c>
      <c r="G820" s="234"/>
      <c r="H820" s="202">
        <v>1.365</v>
      </c>
    </row>
    <row r="821" spans="2:8" x14ac:dyDescent="0.25">
      <c r="B821" s="234" t="s">
        <v>3169</v>
      </c>
      <c r="C821" s="55" t="s">
        <v>2991</v>
      </c>
      <c r="D821" s="263">
        <v>377</v>
      </c>
      <c r="E821" s="263">
        <v>14</v>
      </c>
      <c r="F821" s="260" t="s">
        <v>3003</v>
      </c>
      <c r="G821" s="234"/>
      <c r="H821" s="202">
        <v>1.95</v>
      </c>
    </row>
    <row r="822" spans="2:8" x14ac:dyDescent="0.25">
      <c r="B822" s="234" t="s">
        <v>3169</v>
      </c>
      <c r="C822" s="55" t="s">
        <v>2985</v>
      </c>
      <c r="D822" s="263">
        <v>377</v>
      </c>
      <c r="E822" s="263">
        <v>15</v>
      </c>
      <c r="F822" s="260" t="s">
        <v>234</v>
      </c>
      <c r="G822" s="234"/>
      <c r="H822" s="202">
        <v>1.7370000000000001</v>
      </c>
    </row>
    <row r="823" spans="2:8" x14ac:dyDescent="0.25">
      <c r="B823" s="234" t="s">
        <v>3169</v>
      </c>
      <c r="C823" s="55" t="s">
        <v>2928</v>
      </c>
      <c r="D823" s="263">
        <v>377</v>
      </c>
      <c r="E823" s="263">
        <v>15</v>
      </c>
      <c r="F823" s="260" t="s">
        <v>3003</v>
      </c>
      <c r="G823" s="234"/>
      <c r="H823" s="202">
        <v>1.2430000000000001</v>
      </c>
    </row>
    <row r="824" spans="2:8" x14ac:dyDescent="0.25">
      <c r="B824" s="112" t="s">
        <v>2908</v>
      </c>
      <c r="C824" s="97">
        <v>20</v>
      </c>
      <c r="D824" s="97">
        <v>377</v>
      </c>
      <c r="E824" s="97">
        <v>15</v>
      </c>
      <c r="F824" s="287" t="s">
        <v>2785</v>
      </c>
      <c r="G824" s="287" t="s">
        <v>3382</v>
      </c>
      <c r="H824" s="129">
        <v>2.71</v>
      </c>
    </row>
    <row r="825" spans="2:8" x14ac:dyDescent="0.25">
      <c r="B825" s="112" t="s">
        <v>2908</v>
      </c>
      <c r="C825" s="97">
        <v>20</v>
      </c>
      <c r="D825" s="97">
        <v>377</v>
      </c>
      <c r="E825" s="97">
        <v>15</v>
      </c>
      <c r="F825" s="287" t="s">
        <v>2785</v>
      </c>
      <c r="G825" s="287" t="s">
        <v>3383</v>
      </c>
      <c r="H825" s="129">
        <v>1.99</v>
      </c>
    </row>
    <row r="826" spans="2:8" x14ac:dyDescent="0.25">
      <c r="B826" s="112" t="s">
        <v>2908</v>
      </c>
      <c r="C826" s="97" t="s">
        <v>210</v>
      </c>
      <c r="D826" s="97">
        <v>377</v>
      </c>
      <c r="E826" s="97">
        <v>16</v>
      </c>
      <c r="F826" s="287" t="s">
        <v>3384</v>
      </c>
      <c r="G826" s="287" t="s">
        <v>3385</v>
      </c>
      <c r="H826" s="129">
        <v>16.57</v>
      </c>
    </row>
    <row r="827" spans="2:8" x14ac:dyDescent="0.25">
      <c r="B827" s="97" t="s">
        <v>3169</v>
      </c>
      <c r="C827" s="97" t="s">
        <v>314</v>
      </c>
      <c r="D827" s="97">
        <v>377</v>
      </c>
      <c r="E827" s="97">
        <v>16</v>
      </c>
      <c r="F827" s="287" t="s">
        <v>234</v>
      </c>
      <c r="G827" s="287" t="s">
        <v>3496</v>
      </c>
      <c r="H827" s="129">
        <v>0.44</v>
      </c>
    </row>
    <row r="828" spans="2:8" x14ac:dyDescent="0.25">
      <c r="B828" s="97" t="s">
        <v>3169</v>
      </c>
      <c r="C828" s="97">
        <v>20</v>
      </c>
      <c r="D828" s="97">
        <v>377</v>
      </c>
      <c r="E828" s="97">
        <v>16</v>
      </c>
      <c r="F828" s="287" t="s">
        <v>234</v>
      </c>
      <c r="G828" s="287" t="s">
        <v>3497</v>
      </c>
      <c r="H828" s="129">
        <v>0.94499999999999995</v>
      </c>
    </row>
    <row r="829" spans="2:8" x14ac:dyDescent="0.25">
      <c r="B829" s="234" t="s">
        <v>3169</v>
      </c>
      <c r="C829" s="55" t="s">
        <v>2985</v>
      </c>
      <c r="D829" s="263">
        <v>377</v>
      </c>
      <c r="E829" s="263">
        <v>17</v>
      </c>
      <c r="F829" s="260" t="s">
        <v>234</v>
      </c>
      <c r="G829" s="234"/>
      <c r="H829" s="202">
        <v>0.54700000000000004</v>
      </c>
    </row>
    <row r="830" spans="2:8" x14ac:dyDescent="0.25">
      <c r="B830" s="97" t="s">
        <v>3169</v>
      </c>
      <c r="C830" s="97" t="s">
        <v>314</v>
      </c>
      <c r="D830" s="97">
        <v>377</v>
      </c>
      <c r="E830" s="97">
        <v>17</v>
      </c>
      <c r="F830" s="287" t="s">
        <v>234</v>
      </c>
      <c r="G830" s="287" t="s">
        <v>3498</v>
      </c>
      <c r="H830" s="129">
        <v>3.7549999999999999</v>
      </c>
    </row>
    <row r="831" spans="2:8" x14ac:dyDescent="0.25">
      <c r="B831" s="97" t="s">
        <v>3169</v>
      </c>
      <c r="C831" s="97" t="s">
        <v>314</v>
      </c>
      <c r="D831" s="97">
        <v>377</v>
      </c>
      <c r="E831" s="97">
        <v>18</v>
      </c>
      <c r="F831" s="287" t="s">
        <v>234</v>
      </c>
      <c r="G831" s="287" t="s">
        <v>3499</v>
      </c>
      <c r="H831" s="129">
        <v>3.57</v>
      </c>
    </row>
    <row r="832" spans="2:8" x14ac:dyDescent="0.25">
      <c r="B832" s="97" t="s">
        <v>3169</v>
      </c>
      <c r="C832" s="97" t="s">
        <v>314</v>
      </c>
      <c r="D832" s="97">
        <v>377</v>
      </c>
      <c r="E832" s="97">
        <v>20</v>
      </c>
      <c r="F832" s="287" t="s">
        <v>1165</v>
      </c>
      <c r="G832" s="287" t="s">
        <v>3500</v>
      </c>
      <c r="H832" s="129">
        <v>1.19</v>
      </c>
    </row>
    <row r="833" spans="2:8" x14ac:dyDescent="0.25">
      <c r="B833" s="97" t="s">
        <v>3169</v>
      </c>
      <c r="C833" s="97" t="s">
        <v>314</v>
      </c>
      <c r="D833" s="97">
        <v>377</v>
      </c>
      <c r="E833" s="97">
        <v>20</v>
      </c>
      <c r="F833" s="287" t="s">
        <v>234</v>
      </c>
      <c r="G833" s="287" t="s">
        <v>3501</v>
      </c>
      <c r="H833" s="129">
        <v>1.22</v>
      </c>
    </row>
    <row r="834" spans="2:8" x14ac:dyDescent="0.25">
      <c r="B834" s="97" t="s">
        <v>3169</v>
      </c>
      <c r="C834" s="97" t="s">
        <v>314</v>
      </c>
      <c r="D834" s="97">
        <v>377</v>
      </c>
      <c r="E834" s="97">
        <v>22</v>
      </c>
      <c r="F834" s="287" t="s">
        <v>234</v>
      </c>
      <c r="G834" s="287" t="s">
        <v>3502</v>
      </c>
      <c r="H834" s="129">
        <v>5.13</v>
      </c>
    </row>
    <row r="835" spans="2:8" x14ac:dyDescent="0.25">
      <c r="B835" s="234" t="s">
        <v>3169</v>
      </c>
      <c r="C835" s="55" t="s">
        <v>1711</v>
      </c>
      <c r="D835" s="263">
        <v>377</v>
      </c>
      <c r="E835" s="263">
        <v>26</v>
      </c>
      <c r="F835" s="260" t="s">
        <v>3007</v>
      </c>
      <c r="G835" s="234"/>
      <c r="H835" s="202">
        <f>1.353-0.125</f>
        <v>1.228</v>
      </c>
    </row>
    <row r="836" spans="2:8" x14ac:dyDescent="0.25">
      <c r="B836" s="112" t="s">
        <v>2908</v>
      </c>
      <c r="C836" s="55" t="s">
        <v>154</v>
      </c>
      <c r="D836" s="263">
        <v>377</v>
      </c>
      <c r="E836" s="263">
        <v>28</v>
      </c>
      <c r="F836" s="260" t="s">
        <v>3008</v>
      </c>
      <c r="G836" s="234"/>
      <c r="H836" s="202">
        <v>0.69499999999999995</v>
      </c>
    </row>
    <row r="837" spans="2:8" x14ac:dyDescent="0.25">
      <c r="B837" s="112" t="s">
        <v>2908</v>
      </c>
      <c r="C837" s="55" t="s">
        <v>154</v>
      </c>
      <c r="D837" s="263">
        <v>377</v>
      </c>
      <c r="E837" s="263">
        <v>28</v>
      </c>
      <c r="F837" s="260" t="s">
        <v>3008</v>
      </c>
      <c r="G837" s="234"/>
      <c r="H837" s="202">
        <v>0.62</v>
      </c>
    </row>
    <row r="838" spans="2:8" x14ac:dyDescent="0.25">
      <c r="B838" s="112" t="s">
        <v>2908</v>
      </c>
      <c r="C838" s="55" t="s">
        <v>154</v>
      </c>
      <c r="D838" s="263">
        <v>377</v>
      </c>
      <c r="E838" s="263">
        <v>28</v>
      </c>
      <c r="F838" s="260" t="s">
        <v>3008</v>
      </c>
      <c r="G838" s="234"/>
      <c r="H838" s="202">
        <v>0.245</v>
      </c>
    </row>
    <row r="839" spans="2:8" x14ac:dyDescent="0.25">
      <c r="B839" s="97" t="s">
        <v>3169</v>
      </c>
      <c r="C839" s="97" t="s">
        <v>2997</v>
      </c>
      <c r="D839" s="97">
        <v>377</v>
      </c>
      <c r="E839" s="97">
        <v>32</v>
      </c>
      <c r="F839" s="287" t="s">
        <v>3478</v>
      </c>
      <c r="G839" s="287" t="s">
        <v>3503</v>
      </c>
      <c r="H839" s="129">
        <v>1.58</v>
      </c>
    </row>
    <row r="840" spans="2:8" x14ac:dyDescent="0.25">
      <c r="B840" s="97" t="s">
        <v>3169</v>
      </c>
      <c r="C840" s="97" t="s">
        <v>315</v>
      </c>
      <c r="D840" s="97">
        <v>377</v>
      </c>
      <c r="E840" s="97">
        <v>38</v>
      </c>
      <c r="F840" s="287" t="s">
        <v>234</v>
      </c>
      <c r="G840" s="287" t="s">
        <v>3504</v>
      </c>
      <c r="H840" s="129">
        <v>1.1200000000000001</v>
      </c>
    </row>
    <row r="841" spans="2:8" x14ac:dyDescent="0.25">
      <c r="B841" s="97" t="s">
        <v>3169</v>
      </c>
      <c r="C841" s="97" t="s">
        <v>314</v>
      </c>
      <c r="D841" s="97">
        <v>377</v>
      </c>
      <c r="E841" s="97">
        <v>40</v>
      </c>
      <c r="F841" s="287" t="s">
        <v>234</v>
      </c>
      <c r="G841" s="287" t="s">
        <v>3505</v>
      </c>
      <c r="H841" s="129">
        <v>4.5549999999999997</v>
      </c>
    </row>
    <row r="842" spans="2:8" x14ac:dyDescent="0.25">
      <c r="B842" s="234" t="s">
        <v>3169</v>
      </c>
      <c r="C842" s="55" t="s">
        <v>2928</v>
      </c>
      <c r="D842" s="263">
        <v>377</v>
      </c>
      <c r="E842" s="263">
        <v>42</v>
      </c>
      <c r="F842" s="260" t="s">
        <v>3003</v>
      </c>
      <c r="G842" s="234"/>
      <c r="H842" s="202">
        <v>3.7109999999999999</v>
      </c>
    </row>
    <row r="843" spans="2:8" x14ac:dyDescent="0.25">
      <c r="B843" s="234" t="s">
        <v>3169</v>
      </c>
      <c r="C843" s="55" t="s">
        <v>2988</v>
      </c>
      <c r="D843" s="263">
        <v>377</v>
      </c>
      <c r="E843" s="263">
        <v>45</v>
      </c>
      <c r="F843" s="260" t="s">
        <v>3003</v>
      </c>
      <c r="G843" s="234"/>
      <c r="H843" s="202">
        <v>1.9319999999999999</v>
      </c>
    </row>
    <row r="844" spans="2:8" x14ac:dyDescent="0.25">
      <c r="B844" s="234" t="s">
        <v>3169</v>
      </c>
      <c r="C844" s="55" t="s">
        <v>2988</v>
      </c>
      <c r="D844" s="263">
        <v>377</v>
      </c>
      <c r="E844" s="263">
        <v>45</v>
      </c>
      <c r="F844" s="260" t="s">
        <v>3003</v>
      </c>
      <c r="G844" s="234"/>
      <c r="H844" s="202">
        <f>7.691-2.434-2.45</f>
        <v>2.8069999999999995</v>
      </c>
    </row>
    <row r="845" spans="2:8" x14ac:dyDescent="0.25">
      <c r="B845" s="97" t="s">
        <v>3169</v>
      </c>
      <c r="C845" s="97" t="s">
        <v>314</v>
      </c>
      <c r="D845" s="97">
        <v>377</v>
      </c>
      <c r="E845" s="97">
        <v>45</v>
      </c>
      <c r="F845" s="287" t="s">
        <v>234</v>
      </c>
      <c r="G845" s="287" t="s">
        <v>3506</v>
      </c>
      <c r="H845" s="129">
        <v>6.5030000000000001</v>
      </c>
    </row>
    <row r="846" spans="2:8" x14ac:dyDescent="0.25">
      <c r="B846" s="97" t="s">
        <v>3169</v>
      </c>
      <c r="C846" s="97" t="s">
        <v>315</v>
      </c>
      <c r="D846" s="97">
        <v>377</v>
      </c>
      <c r="E846" s="97">
        <v>45</v>
      </c>
      <c r="F846" s="287" t="s">
        <v>234</v>
      </c>
      <c r="G846" s="287" t="s">
        <v>3507</v>
      </c>
      <c r="H846" s="129">
        <v>5.26</v>
      </c>
    </row>
    <row r="847" spans="2:8" x14ac:dyDescent="0.25">
      <c r="B847" s="97" t="s">
        <v>3169</v>
      </c>
      <c r="C847" s="97" t="s">
        <v>2997</v>
      </c>
      <c r="D847" s="97">
        <v>377</v>
      </c>
      <c r="E847" s="97">
        <v>45</v>
      </c>
      <c r="F847" s="287" t="s">
        <v>3478</v>
      </c>
      <c r="G847" s="287" t="s">
        <v>3508</v>
      </c>
      <c r="H847" s="129">
        <v>1.22</v>
      </c>
    </row>
    <row r="848" spans="2:8" x14ac:dyDescent="0.25">
      <c r="B848" s="234" t="s">
        <v>3169</v>
      </c>
      <c r="C848" s="55" t="s">
        <v>2928</v>
      </c>
      <c r="D848" s="263">
        <v>377</v>
      </c>
      <c r="E848" s="263">
        <v>50</v>
      </c>
      <c r="F848" s="260" t="s">
        <v>3003</v>
      </c>
      <c r="G848" s="234"/>
      <c r="H848" s="202">
        <v>0</v>
      </c>
    </row>
    <row r="849" spans="2:8" x14ac:dyDescent="0.25">
      <c r="B849" s="234" t="s">
        <v>3169</v>
      </c>
      <c r="C849" s="55" t="s">
        <v>2928</v>
      </c>
      <c r="D849" s="263">
        <v>377</v>
      </c>
      <c r="E849" s="263">
        <v>50</v>
      </c>
      <c r="F849" s="260" t="s">
        <v>3003</v>
      </c>
      <c r="G849" s="234"/>
      <c r="H849" s="202">
        <f>5.972-2.012-1.991</f>
        <v>1.9690000000000003</v>
      </c>
    </row>
    <row r="850" spans="2:8" x14ac:dyDescent="0.25">
      <c r="B850" s="234" t="s">
        <v>3169</v>
      </c>
      <c r="C850" s="55" t="s">
        <v>2928</v>
      </c>
      <c r="D850" s="263">
        <v>377</v>
      </c>
      <c r="E850" s="263">
        <v>50</v>
      </c>
      <c r="F850" s="260" t="s">
        <v>3003</v>
      </c>
      <c r="G850" s="234"/>
      <c r="H850" s="202">
        <v>2.008</v>
      </c>
    </row>
    <row r="851" spans="2:8" x14ac:dyDescent="0.25">
      <c r="B851" s="97" t="s">
        <v>3169</v>
      </c>
      <c r="C851" s="97" t="s">
        <v>3509</v>
      </c>
      <c r="D851" s="97">
        <v>377</v>
      </c>
      <c r="E851" s="97">
        <v>50</v>
      </c>
      <c r="F851" s="287" t="s">
        <v>3478</v>
      </c>
      <c r="G851" s="287" t="s">
        <v>3510</v>
      </c>
      <c r="H851" s="129">
        <v>13.64</v>
      </c>
    </row>
    <row r="852" spans="2:8" x14ac:dyDescent="0.25">
      <c r="B852" s="97" t="s">
        <v>3169</v>
      </c>
      <c r="C852" s="97" t="s">
        <v>315</v>
      </c>
      <c r="D852" s="97">
        <v>377</v>
      </c>
      <c r="E852" s="97">
        <v>50</v>
      </c>
      <c r="F852" s="287" t="s">
        <v>234</v>
      </c>
      <c r="G852" s="287" t="s">
        <v>3511</v>
      </c>
      <c r="H852" s="129">
        <v>2.5449999999999999</v>
      </c>
    </row>
    <row r="853" spans="2:8" x14ac:dyDescent="0.25">
      <c r="B853" s="97" t="s">
        <v>3169</v>
      </c>
      <c r="C853" s="97" t="s">
        <v>315</v>
      </c>
      <c r="D853" s="97">
        <v>377</v>
      </c>
      <c r="E853" s="97">
        <v>50</v>
      </c>
      <c r="F853" s="287" t="s">
        <v>234</v>
      </c>
      <c r="G853" s="287" t="s">
        <v>3512</v>
      </c>
      <c r="H853" s="129">
        <v>1.0049999999999999</v>
      </c>
    </row>
    <row r="854" spans="2:8" x14ac:dyDescent="0.25">
      <c r="B854" s="97" t="s">
        <v>3169</v>
      </c>
      <c r="C854" s="97" t="s">
        <v>2997</v>
      </c>
      <c r="D854" s="97">
        <v>377</v>
      </c>
      <c r="E854" s="97">
        <v>50</v>
      </c>
      <c r="F854" s="287" t="s">
        <v>3478</v>
      </c>
      <c r="G854" s="287" t="s">
        <v>3513</v>
      </c>
      <c r="H854" s="129">
        <v>5.9850000000000003</v>
      </c>
    </row>
    <row r="855" spans="2:8" x14ac:dyDescent="0.25">
      <c r="B855" s="97" t="s">
        <v>3169</v>
      </c>
      <c r="C855" s="97" t="s">
        <v>3514</v>
      </c>
      <c r="D855" s="97">
        <v>377</v>
      </c>
      <c r="E855" s="97">
        <v>50</v>
      </c>
      <c r="F855" s="287" t="s">
        <v>3478</v>
      </c>
      <c r="G855" s="287" t="s">
        <v>3515</v>
      </c>
      <c r="H855" s="129">
        <v>4.59</v>
      </c>
    </row>
    <row r="856" spans="2:8" x14ac:dyDescent="0.25">
      <c r="B856" s="97" t="s">
        <v>3169</v>
      </c>
      <c r="C856" s="97">
        <v>20</v>
      </c>
      <c r="D856" s="97">
        <v>377</v>
      </c>
      <c r="E856" s="97">
        <v>56</v>
      </c>
      <c r="F856" s="287" t="s">
        <v>234</v>
      </c>
      <c r="G856" s="287" t="s">
        <v>3516</v>
      </c>
      <c r="H856" s="129">
        <v>3.1349999999999998</v>
      </c>
    </row>
    <row r="857" spans="2:8" x14ac:dyDescent="0.25">
      <c r="B857" s="234" t="s">
        <v>3169</v>
      </c>
      <c r="C857" s="55" t="s">
        <v>2988</v>
      </c>
      <c r="D857" s="263">
        <v>377</v>
      </c>
      <c r="E857" s="263">
        <v>90</v>
      </c>
      <c r="F857" s="260" t="s">
        <v>3003</v>
      </c>
      <c r="G857" s="234"/>
      <c r="H857" s="256">
        <v>6.6</v>
      </c>
    </row>
    <row r="858" spans="2:8" x14ac:dyDescent="0.25">
      <c r="B858" s="187" t="s">
        <v>2901</v>
      </c>
      <c r="C858" s="234"/>
      <c r="D858" s="234">
        <v>377</v>
      </c>
      <c r="E858" s="65" t="s">
        <v>2904</v>
      </c>
      <c r="F858" s="244"/>
      <c r="G858" s="234"/>
      <c r="H858" s="274">
        <v>19.5</v>
      </c>
    </row>
    <row r="859" spans="2:8" x14ac:dyDescent="0.25">
      <c r="B859" s="112" t="s">
        <v>2908</v>
      </c>
      <c r="C859" s="97">
        <v>20</v>
      </c>
      <c r="D859" s="97">
        <v>400</v>
      </c>
      <c r="E859" s="97">
        <v>9</v>
      </c>
      <c r="F859" s="97" t="s">
        <v>2785</v>
      </c>
      <c r="G859" s="97"/>
      <c r="H859" s="278">
        <v>9.0399999999999991</v>
      </c>
    </row>
    <row r="860" spans="2:8" x14ac:dyDescent="0.25">
      <c r="B860" s="112" t="s">
        <v>2908</v>
      </c>
      <c r="C860" s="55" t="s">
        <v>1711</v>
      </c>
      <c r="D860" s="263">
        <v>402</v>
      </c>
      <c r="E860" s="263">
        <v>60</v>
      </c>
      <c r="F860" s="260" t="s">
        <v>3007</v>
      </c>
      <c r="G860" s="234"/>
      <c r="H860" s="202">
        <f>0.925-0.176</f>
        <v>0.74900000000000011</v>
      </c>
    </row>
    <row r="861" spans="2:8" x14ac:dyDescent="0.25">
      <c r="B861" s="112" t="s">
        <v>2908</v>
      </c>
      <c r="C861" s="97" t="s">
        <v>219</v>
      </c>
      <c r="D861" s="97">
        <v>406</v>
      </c>
      <c r="E861" s="97">
        <v>13</v>
      </c>
      <c r="F861" s="287" t="s">
        <v>2785</v>
      </c>
      <c r="G861" s="287" t="s">
        <v>3387</v>
      </c>
      <c r="H861" s="129">
        <v>1.1100000000000001</v>
      </c>
    </row>
    <row r="862" spans="2:8" x14ac:dyDescent="0.25">
      <c r="B862" s="112" t="s">
        <v>2908</v>
      </c>
      <c r="C862" s="97" t="s">
        <v>220</v>
      </c>
      <c r="D862" s="97">
        <v>406</v>
      </c>
      <c r="E862" s="97">
        <v>26</v>
      </c>
      <c r="F862" s="287"/>
      <c r="G862" s="287" t="s">
        <v>3388</v>
      </c>
      <c r="H862" s="129">
        <v>2.3450000000000002</v>
      </c>
    </row>
    <row r="863" spans="2:8" x14ac:dyDescent="0.25">
      <c r="B863" s="112" t="s">
        <v>2908</v>
      </c>
      <c r="C863" s="97" t="s">
        <v>3362</v>
      </c>
      <c r="D863" s="97">
        <v>406</v>
      </c>
      <c r="E863" s="97">
        <v>27</v>
      </c>
      <c r="F863" s="287" t="s">
        <v>2785</v>
      </c>
      <c r="G863" s="287" t="s">
        <v>3389</v>
      </c>
      <c r="H863" s="129">
        <v>1.355</v>
      </c>
    </row>
    <row r="864" spans="2:8" x14ac:dyDescent="0.25">
      <c r="B864" s="112" t="s">
        <v>2908</v>
      </c>
      <c r="C864" s="97" t="s">
        <v>218</v>
      </c>
      <c r="D864" s="97">
        <v>406.3</v>
      </c>
      <c r="E864" s="97">
        <v>26</v>
      </c>
      <c r="F864" s="287" t="s">
        <v>2785</v>
      </c>
      <c r="G864" s="287" t="s">
        <v>3386</v>
      </c>
      <c r="H864" s="129">
        <v>2.1549999999999998</v>
      </c>
    </row>
    <row r="865" spans="2:8" x14ac:dyDescent="0.25">
      <c r="B865" s="112" t="s">
        <v>2908</v>
      </c>
      <c r="C865" s="55" t="s">
        <v>2992</v>
      </c>
      <c r="D865" s="263">
        <v>419</v>
      </c>
      <c r="E865" s="263">
        <v>25</v>
      </c>
      <c r="F865" s="260" t="s">
        <v>150</v>
      </c>
      <c r="G865" s="234"/>
      <c r="H865" s="202">
        <v>2.254</v>
      </c>
    </row>
    <row r="866" spans="2:8" x14ac:dyDescent="0.25">
      <c r="B866" s="112" t="s">
        <v>2908</v>
      </c>
      <c r="C866" s="55" t="s">
        <v>154</v>
      </c>
      <c r="D866" s="263">
        <v>419</v>
      </c>
      <c r="E866" s="263">
        <v>30</v>
      </c>
      <c r="F866" s="260" t="s">
        <v>3008</v>
      </c>
      <c r="G866" s="234"/>
      <c r="H866" s="202">
        <f>2.125-0.35</f>
        <v>1.7749999999999999</v>
      </c>
    </row>
    <row r="867" spans="2:8" x14ac:dyDescent="0.25">
      <c r="B867" s="234" t="s">
        <v>2902</v>
      </c>
      <c r="C867" s="234"/>
      <c r="D867" s="234">
        <v>426</v>
      </c>
      <c r="E867" s="234">
        <v>7</v>
      </c>
      <c r="F867" s="244"/>
      <c r="G867" s="234"/>
      <c r="H867" s="274">
        <v>14.49</v>
      </c>
    </row>
    <row r="868" spans="2:8" x14ac:dyDescent="0.25">
      <c r="B868" s="97" t="s">
        <v>202</v>
      </c>
      <c r="C868" s="97" t="s">
        <v>210</v>
      </c>
      <c r="D868" s="97">
        <v>426</v>
      </c>
      <c r="E868" s="97">
        <v>8</v>
      </c>
      <c r="F868" s="97" t="s">
        <v>2794</v>
      </c>
      <c r="G868" s="97"/>
      <c r="H868" s="278">
        <v>14</v>
      </c>
    </row>
    <row r="869" spans="2:8" x14ac:dyDescent="0.2">
      <c r="B869" s="134" t="s">
        <v>202</v>
      </c>
      <c r="C869" s="134" t="s">
        <v>3070</v>
      </c>
      <c r="D869" s="134">
        <v>426</v>
      </c>
      <c r="E869" s="134">
        <v>8</v>
      </c>
      <c r="F869" s="22" t="s">
        <v>2794</v>
      </c>
      <c r="G869" s="22" t="s">
        <v>3047</v>
      </c>
      <c r="H869" s="181">
        <v>0.93</v>
      </c>
    </row>
    <row r="870" spans="2:8" x14ac:dyDescent="0.25">
      <c r="B870" s="112" t="s">
        <v>2908</v>
      </c>
      <c r="C870" s="234" t="s">
        <v>210</v>
      </c>
      <c r="D870" s="234">
        <v>426</v>
      </c>
      <c r="E870" s="234">
        <v>9</v>
      </c>
      <c r="F870" s="198" t="s">
        <v>2785</v>
      </c>
      <c r="G870" s="198" t="s">
        <v>2861</v>
      </c>
      <c r="H870" s="201">
        <v>4.8</v>
      </c>
    </row>
    <row r="871" spans="2:8" x14ac:dyDescent="0.25">
      <c r="B871" s="187" t="s">
        <v>202</v>
      </c>
      <c r="C871" s="112">
        <v>20</v>
      </c>
      <c r="D871" s="112">
        <v>426</v>
      </c>
      <c r="E871" s="112">
        <v>9</v>
      </c>
      <c r="F871" s="187" t="s">
        <v>2794</v>
      </c>
      <c r="G871" s="234">
        <v>9.25</v>
      </c>
      <c r="H871" s="277">
        <v>0.85599999999999998</v>
      </c>
    </row>
    <row r="872" spans="2:8" x14ac:dyDescent="0.25">
      <c r="B872" s="112" t="s">
        <v>2908</v>
      </c>
      <c r="C872" s="106" t="s">
        <v>210</v>
      </c>
      <c r="D872" s="234">
        <v>426</v>
      </c>
      <c r="E872" s="234">
        <v>9</v>
      </c>
      <c r="F872" s="112" t="s">
        <v>2785</v>
      </c>
      <c r="G872" s="234"/>
      <c r="H872" s="274">
        <v>9.5</v>
      </c>
    </row>
    <row r="873" spans="2:8" x14ac:dyDescent="0.25">
      <c r="B873" s="97" t="s">
        <v>202</v>
      </c>
      <c r="C873" s="97" t="s">
        <v>210</v>
      </c>
      <c r="D873" s="97">
        <v>426</v>
      </c>
      <c r="E873" s="97">
        <v>9</v>
      </c>
      <c r="F873" s="97" t="s">
        <v>2794</v>
      </c>
      <c r="G873" s="97"/>
      <c r="H873" s="278">
        <v>16.12</v>
      </c>
    </row>
    <row r="874" spans="2:8" x14ac:dyDescent="0.25">
      <c r="B874" s="112" t="s">
        <v>2908</v>
      </c>
      <c r="C874" s="257" t="s">
        <v>215</v>
      </c>
      <c r="D874" s="258">
        <v>426</v>
      </c>
      <c r="E874" s="234">
        <v>9</v>
      </c>
      <c r="F874" s="234"/>
      <c r="G874" s="234"/>
      <c r="H874" s="279">
        <v>6.8150000000000004</v>
      </c>
    </row>
    <row r="875" spans="2:8" x14ac:dyDescent="0.25">
      <c r="B875" s="112" t="s">
        <v>2908</v>
      </c>
      <c r="C875" s="257" t="s">
        <v>210</v>
      </c>
      <c r="D875" s="257">
        <v>426</v>
      </c>
      <c r="E875" s="234">
        <v>9</v>
      </c>
      <c r="F875" s="234"/>
      <c r="G875" s="234"/>
      <c r="H875" s="279">
        <v>0.92300000000000004</v>
      </c>
    </row>
    <row r="876" spans="2:8" x14ac:dyDescent="0.25">
      <c r="B876" s="112" t="s">
        <v>2908</v>
      </c>
      <c r="C876" s="257" t="s">
        <v>214</v>
      </c>
      <c r="D876" s="257">
        <v>426</v>
      </c>
      <c r="E876" s="234">
        <v>9</v>
      </c>
      <c r="F876" s="234" t="s">
        <v>2966</v>
      </c>
      <c r="G876" s="234">
        <v>9.31</v>
      </c>
      <c r="H876" s="279">
        <v>0.86199999999999999</v>
      </c>
    </row>
    <row r="877" spans="2:8" x14ac:dyDescent="0.2">
      <c r="B877" s="134" t="s">
        <v>202</v>
      </c>
      <c r="C877" s="134">
        <v>20</v>
      </c>
      <c r="D877" s="134">
        <v>426</v>
      </c>
      <c r="E877" s="134">
        <v>9</v>
      </c>
      <c r="F877" s="22" t="s">
        <v>2794</v>
      </c>
      <c r="G877" s="22" t="s">
        <v>3071</v>
      </c>
      <c r="H877" s="181">
        <v>0.69</v>
      </c>
    </row>
    <row r="878" spans="2:8" x14ac:dyDescent="0.25">
      <c r="B878" s="112" t="s">
        <v>2908</v>
      </c>
      <c r="C878" s="97" t="s">
        <v>210</v>
      </c>
      <c r="D878" s="97">
        <v>426</v>
      </c>
      <c r="E878" s="97">
        <v>9</v>
      </c>
      <c r="F878" s="287" t="s">
        <v>2785</v>
      </c>
      <c r="G878" s="287" t="s">
        <v>3390</v>
      </c>
      <c r="H878" s="129">
        <v>3.0150000000000001</v>
      </c>
    </row>
    <row r="879" spans="2:8" x14ac:dyDescent="0.25">
      <c r="B879" s="112" t="s">
        <v>2908</v>
      </c>
      <c r="C879" s="97" t="s">
        <v>210</v>
      </c>
      <c r="D879" s="97">
        <v>426</v>
      </c>
      <c r="E879" s="97">
        <v>9</v>
      </c>
      <c r="F879" s="287" t="s">
        <v>3316</v>
      </c>
      <c r="G879" s="287" t="s">
        <v>3391</v>
      </c>
      <c r="H879" s="129">
        <v>1.1399999999999999</v>
      </c>
    </row>
    <row r="880" spans="2:8" x14ac:dyDescent="0.25">
      <c r="B880" s="112" t="s">
        <v>2908</v>
      </c>
      <c r="C880" s="97">
        <v>10</v>
      </c>
      <c r="D880" s="97">
        <v>426</v>
      </c>
      <c r="E880" s="97">
        <v>9</v>
      </c>
      <c r="F880" s="287" t="s">
        <v>2785</v>
      </c>
      <c r="G880" s="287" t="s">
        <v>3392</v>
      </c>
      <c r="H880" s="129">
        <v>0.79</v>
      </c>
    </row>
    <row r="881" spans="2:8" x14ac:dyDescent="0.25">
      <c r="B881" s="112" t="s">
        <v>2908</v>
      </c>
      <c r="C881" s="97">
        <v>20</v>
      </c>
      <c r="D881" s="97">
        <v>426</v>
      </c>
      <c r="E881" s="97">
        <v>9</v>
      </c>
      <c r="F881" s="287" t="s">
        <v>2785</v>
      </c>
      <c r="G881" s="287" t="s">
        <v>3393</v>
      </c>
      <c r="H881" s="129">
        <v>3.45</v>
      </c>
    </row>
    <row r="882" spans="2:8" x14ac:dyDescent="0.25">
      <c r="B882" s="97" t="s">
        <v>3169</v>
      </c>
      <c r="C882" s="97">
        <v>20</v>
      </c>
      <c r="D882" s="97">
        <v>426</v>
      </c>
      <c r="E882" s="97">
        <v>9</v>
      </c>
      <c r="F882" s="287" t="s">
        <v>3517</v>
      </c>
      <c r="G882" s="287" t="s">
        <v>3518</v>
      </c>
      <c r="H882" s="129">
        <v>1.88</v>
      </c>
    </row>
    <row r="883" spans="2:8" x14ac:dyDescent="0.25">
      <c r="B883" s="112" t="s">
        <v>2908</v>
      </c>
      <c r="C883" s="112" t="s">
        <v>255</v>
      </c>
      <c r="D883" s="237">
        <v>426</v>
      </c>
      <c r="E883" s="112">
        <v>10</v>
      </c>
      <c r="F883" s="234" t="s">
        <v>256</v>
      </c>
      <c r="G883" s="233"/>
      <c r="H883" s="271">
        <v>1.2</v>
      </c>
    </row>
    <row r="884" spans="2:8" x14ac:dyDescent="0.25">
      <c r="B884" s="112" t="s">
        <v>2908</v>
      </c>
      <c r="C884" s="106">
        <v>20</v>
      </c>
      <c r="D884" s="234">
        <v>426</v>
      </c>
      <c r="E884" s="106">
        <v>10</v>
      </c>
      <c r="F884" s="198" t="s">
        <v>2785</v>
      </c>
      <c r="G884" s="198" t="s">
        <v>2862</v>
      </c>
      <c r="H884" s="201">
        <v>3.4</v>
      </c>
    </row>
    <row r="885" spans="2:8" x14ac:dyDescent="0.25">
      <c r="B885" s="112" t="s">
        <v>2908</v>
      </c>
      <c r="C885" s="112">
        <v>20</v>
      </c>
      <c r="D885" s="112">
        <v>426</v>
      </c>
      <c r="E885" s="112">
        <v>10</v>
      </c>
      <c r="F885" s="112" t="s">
        <v>2785</v>
      </c>
      <c r="G885" s="234"/>
      <c r="H885" s="202">
        <v>1.01</v>
      </c>
    </row>
    <row r="886" spans="2:8" x14ac:dyDescent="0.25">
      <c r="B886" s="112" t="s">
        <v>2908</v>
      </c>
      <c r="C886" s="106" t="s">
        <v>210</v>
      </c>
      <c r="D886" s="234">
        <v>426</v>
      </c>
      <c r="E886" s="234">
        <v>10</v>
      </c>
      <c r="F886" s="112" t="s">
        <v>2785</v>
      </c>
      <c r="G886" s="234"/>
      <c r="H886" s="274">
        <v>9.83</v>
      </c>
    </row>
    <row r="887" spans="2:8" x14ac:dyDescent="0.25">
      <c r="B887" s="187" t="s">
        <v>2901</v>
      </c>
      <c r="C887" s="234"/>
      <c r="D887" s="234">
        <v>426</v>
      </c>
      <c r="E887" s="234">
        <v>10</v>
      </c>
      <c r="F887" s="244"/>
      <c r="G887" s="234"/>
      <c r="H887" s="274">
        <v>5</v>
      </c>
    </row>
    <row r="888" spans="2:8" x14ac:dyDescent="0.25">
      <c r="B888" s="234" t="s">
        <v>2902</v>
      </c>
      <c r="C888" s="234"/>
      <c r="D888" s="234">
        <v>426</v>
      </c>
      <c r="E888" s="234">
        <v>10</v>
      </c>
      <c r="F888" s="244"/>
      <c r="G888" s="234"/>
      <c r="H888" s="274">
        <v>36</v>
      </c>
    </row>
    <row r="889" spans="2:8" x14ac:dyDescent="0.25">
      <c r="B889" s="112" t="s">
        <v>2908</v>
      </c>
      <c r="C889" s="257" t="s">
        <v>210</v>
      </c>
      <c r="D889" s="257">
        <v>426</v>
      </c>
      <c r="E889" s="234">
        <v>10</v>
      </c>
      <c r="F889" s="234"/>
      <c r="G889" s="234"/>
      <c r="H889" s="279">
        <v>3.8010000000000002</v>
      </c>
    </row>
    <row r="890" spans="2:8" x14ac:dyDescent="0.25">
      <c r="B890" s="112" t="s">
        <v>2908</v>
      </c>
      <c r="C890" s="257" t="s">
        <v>215</v>
      </c>
      <c r="D890" s="257">
        <v>426</v>
      </c>
      <c r="E890" s="234">
        <v>10</v>
      </c>
      <c r="F890" s="234"/>
      <c r="G890" s="234"/>
      <c r="H890" s="279">
        <v>3.3530000000000002</v>
      </c>
    </row>
    <row r="891" spans="2:8" x14ac:dyDescent="0.25">
      <c r="B891" s="112" t="s">
        <v>2908</v>
      </c>
      <c r="C891" s="257" t="s">
        <v>2978</v>
      </c>
      <c r="D891" s="257">
        <v>426</v>
      </c>
      <c r="E891" s="234">
        <v>10</v>
      </c>
      <c r="F891" s="234" t="s">
        <v>2972</v>
      </c>
      <c r="G891" s="234" t="s">
        <v>2973</v>
      </c>
      <c r="H891" s="279">
        <v>1.869</v>
      </c>
    </row>
    <row r="892" spans="2:8" x14ac:dyDescent="0.25">
      <c r="B892" s="97" t="s">
        <v>202</v>
      </c>
      <c r="C892" s="257" t="s">
        <v>255</v>
      </c>
      <c r="D892" s="257">
        <v>426</v>
      </c>
      <c r="E892" s="234">
        <v>10</v>
      </c>
      <c r="F892" s="234"/>
      <c r="G892" s="234">
        <v>6</v>
      </c>
      <c r="H892" s="279">
        <v>1.1719999999999999</v>
      </c>
    </row>
    <row r="893" spans="2:8" x14ac:dyDescent="0.25">
      <c r="B893" s="234" t="s">
        <v>3169</v>
      </c>
      <c r="C893" s="55" t="s">
        <v>2930</v>
      </c>
      <c r="D893" s="263">
        <v>426</v>
      </c>
      <c r="E893" s="263">
        <v>10</v>
      </c>
      <c r="F893" s="260" t="s">
        <v>229</v>
      </c>
      <c r="G893" s="234"/>
      <c r="H893" s="202">
        <v>5.2039999999999997</v>
      </c>
    </row>
    <row r="894" spans="2:8" x14ac:dyDescent="0.25">
      <c r="B894" s="112" t="s">
        <v>2908</v>
      </c>
      <c r="C894" s="97" t="s">
        <v>210</v>
      </c>
      <c r="D894" s="97">
        <v>426</v>
      </c>
      <c r="E894" s="97">
        <v>10</v>
      </c>
      <c r="F894" s="287" t="s">
        <v>287</v>
      </c>
      <c r="G894" s="287" t="s">
        <v>3380</v>
      </c>
      <c r="H894" s="129">
        <v>0.90500000000000003</v>
      </c>
    </row>
    <row r="895" spans="2:8" x14ac:dyDescent="0.25">
      <c r="B895" s="112" t="s">
        <v>2908</v>
      </c>
      <c r="C895" s="97">
        <v>10</v>
      </c>
      <c r="D895" s="97">
        <v>426</v>
      </c>
      <c r="E895" s="97">
        <v>10</v>
      </c>
      <c r="F895" s="287" t="s">
        <v>2785</v>
      </c>
      <c r="G895" s="287" t="s">
        <v>3394</v>
      </c>
      <c r="H895" s="129">
        <v>11.045</v>
      </c>
    </row>
    <row r="896" spans="2:8" x14ac:dyDescent="0.25">
      <c r="B896" s="112" t="s">
        <v>2908</v>
      </c>
      <c r="C896" s="97">
        <v>20</v>
      </c>
      <c r="D896" s="97">
        <v>426</v>
      </c>
      <c r="E896" s="97">
        <v>10</v>
      </c>
      <c r="F896" s="287" t="s">
        <v>2785</v>
      </c>
      <c r="G896" s="287" t="s">
        <v>3395</v>
      </c>
      <c r="H896" s="129">
        <v>1.615</v>
      </c>
    </row>
    <row r="897" spans="2:8" x14ac:dyDescent="0.25">
      <c r="B897" s="187" t="s">
        <v>2901</v>
      </c>
      <c r="C897" s="234"/>
      <c r="D897" s="234">
        <v>426</v>
      </c>
      <c r="E897" s="234">
        <v>11</v>
      </c>
      <c r="F897" s="244"/>
      <c r="G897" s="234"/>
      <c r="H897" s="274">
        <v>13.5</v>
      </c>
    </row>
    <row r="898" spans="2:8" x14ac:dyDescent="0.25">
      <c r="B898" s="112" t="s">
        <v>2908</v>
      </c>
      <c r="C898" s="55" t="s">
        <v>154</v>
      </c>
      <c r="D898" s="263">
        <v>426</v>
      </c>
      <c r="E898" s="263">
        <v>11</v>
      </c>
      <c r="F898" s="260" t="s">
        <v>3003</v>
      </c>
      <c r="G898" s="234"/>
      <c r="H898" s="202">
        <v>0.90700000000000003</v>
      </c>
    </row>
    <row r="899" spans="2:8" x14ac:dyDescent="0.25">
      <c r="B899" s="112" t="s">
        <v>2908</v>
      </c>
      <c r="C899" s="97">
        <v>20</v>
      </c>
      <c r="D899" s="97">
        <v>426</v>
      </c>
      <c r="E899" s="97">
        <v>11</v>
      </c>
      <c r="F899" s="287" t="s">
        <v>2785</v>
      </c>
      <c r="G899" s="287" t="s">
        <v>3396</v>
      </c>
      <c r="H899" s="129">
        <v>1.2350000000000001</v>
      </c>
    </row>
    <row r="900" spans="2:8" x14ac:dyDescent="0.25">
      <c r="B900" s="112" t="s">
        <v>2908</v>
      </c>
      <c r="C900" s="257" t="s">
        <v>215</v>
      </c>
      <c r="D900" s="257">
        <v>426</v>
      </c>
      <c r="E900" s="234">
        <v>12</v>
      </c>
      <c r="F900" s="234"/>
      <c r="G900" s="234"/>
      <c r="H900" s="279">
        <v>7.6669999999999998</v>
      </c>
    </row>
    <row r="901" spans="2:8" x14ac:dyDescent="0.25">
      <c r="B901" s="112" t="s">
        <v>2908</v>
      </c>
      <c r="C901" s="257" t="s">
        <v>2967</v>
      </c>
      <c r="D901" s="257">
        <v>426</v>
      </c>
      <c r="E901" s="234">
        <v>12</v>
      </c>
      <c r="F901" s="234" t="s">
        <v>2953</v>
      </c>
      <c r="G901" s="234">
        <v>7.7</v>
      </c>
      <c r="H901" s="279">
        <v>0.94199999999999995</v>
      </c>
    </row>
    <row r="902" spans="2:8" x14ac:dyDescent="0.2">
      <c r="B902" s="134" t="s">
        <v>202</v>
      </c>
      <c r="C902" s="134" t="s">
        <v>210</v>
      </c>
      <c r="D902" s="134">
        <v>426</v>
      </c>
      <c r="E902" s="134">
        <v>12</v>
      </c>
      <c r="F902" s="22" t="s">
        <v>2794</v>
      </c>
      <c r="G902" s="22" t="s">
        <v>3072</v>
      </c>
      <c r="H902" s="181">
        <v>3.9049999999999998</v>
      </c>
    </row>
    <row r="903" spans="2:8" x14ac:dyDescent="0.25">
      <c r="B903" s="112" t="s">
        <v>2908</v>
      </c>
      <c r="C903" s="97" t="s">
        <v>210</v>
      </c>
      <c r="D903" s="97">
        <v>426</v>
      </c>
      <c r="E903" s="97">
        <v>12</v>
      </c>
      <c r="F903" s="287" t="s">
        <v>2785</v>
      </c>
      <c r="G903" s="287" t="s">
        <v>3397</v>
      </c>
      <c r="H903" s="129">
        <v>2.335</v>
      </c>
    </row>
    <row r="904" spans="2:8" x14ac:dyDescent="0.25">
      <c r="B904" s="112" t="s">
        <v>2908</v>
      </c>
      <c r="C904" s="97">
        <v>10</v>
      </c>
      <c r="D904" s="97">
        <v>426</v>
      </c>
      <c r="E904" s="97">
        <v>14</v>
      </c>
      <c r="F904" s="287" t="s">
        <v>2785</v>
      </c>
      <c r="G904" s="287" t="s">
        <v>3398</v>
      </c>
      <c r="H904" s="129">
        <v>1.57</v>
      </c>
    </row>
    <row r="905" spans="2:8" x14ac:dyDescent="0.25">
      <c r="B905" s="112" t="s">
        <v>2908</v>
      </c>
      <c r="C905" s="97">
        <v>20</v>
      </c>
      <c r="D905" s="97">
        <v>426</v>
      </c>
      <c r="E905" s="97">
        <v>15</v>
      </c>
      <c r="F905" s="287" t="s">
        <v>2785</v>
      </c>
      <c r="G905" s="287" t="s">
        <v>3399</v>
      </c>
      <c r="H905" s="129">
        <v>0.91</v>
      </c>
    </row>
    <row r="906" spans="2:8" x14ac:dyDescent="0.25">
      <c r="B906" s="112" t="s">
        <v>2908</v>
      </c>
      <c r="C906" s="257" t="s">
        <v>2977</v>
      </c>
      <c r="D906" s="257">
        <v>426</v>
      </c>
      <c r="E906" s="234">
        <v>16</v>
      </c>
      <c r="F906" s="234" t="s">
        <v>2960</v>
      </c>
      <c r="G906" s="234" t="s">
        <v>2975</v>
      </c>
      <c r="H906" s="279">
        <v>4.694</v>
      </c>
    </row>
    <row r="907" spans="2:8" x14ac:dyDescent="0.25">
      <c r="B907" s="234" t="s">
        <v>3169</v>
      </c>
      <c r="C907" s="55" t="s">
        <v>2985</v>
      </c>
      <c r="D907" s="263">
        <v>426</v>
      </c>
      <c r="E907" s="263">
        <v>16</v>
      </c>
      <c r="F907" s="260" t="s">
        <v>234</v>
      </c>
      <c r="G907" s="234"/>
      <c r="H907" s="202">
        <v>1.399</v>
      </c>
    </row>
    <row r="908" spans="2:8" x14ac:dyDescent="0.25">
      <c r="B908" s="234" t="s">
        <v>3169</v>
      </c>
      <c r="C908" s="55" t="s">
        <v>2928</v>
      </c>
      <c r="D908" s="125">
        <v>426</v>
      </c>
      <c r="E908" s="125">
        <v>18</v>
      </c>
      <c r="F908" s="260" t="s">
        <v>3003</v>
      </c>
      <c r="G908" s="234"/>
      <c r="H908" s="202">
        <f>4.35-2.18</f>
        <v>2.1699999999999995</v>
      </c>
    </row>
    <row r="909" spans="2:8" x14ac:dyDescent="0.25">
      <c r="B909" s="234" t="s">
        <v>3169</v>
      </c>
      <c r="C909" s="55" t="s">
        <v>2985</v>
      </c>
      <c r="D909" s="263">
        <v>426</v>
      </c>
      <c r="E909" s="263">
        <v>19</v>
      </c>
      <c r="F909" s="260" t="s">
        <v>3003</v>
      </c>
      <c r="G909" s="234"/>
      <c r="H909" s="202">
        <f>1.829+2.242-2.242</f>
        <v>1.8289999999999997</v>
      </c>
    </row>
    <row r="910" spans="2:8" x14ac:dyDescent="0.25">
      <c r="B910" s="234" t="s">
        <v>3169</v>
      </c>
      <c r="C910" s="55" t="s">
        <v>2928</v>
      </c>
      <c r="D910" s="125">
        <v>426</v>
      </c>
      <c r="E910" s="125">
        <v>19</v>
      </c>
      <c r="F910" s="260"/>
      <c r="G910" s="234"/>
      <c r="H910" s="202">
        <v>1.3240000000000001</v>
      </c>
    </row>
    <row r="911" spans="2:8" x14ac:dyDescent="0.25">
      <c r="B911" s="234" t="s">
        <v>3169</v>
      </c>
      <c r="C911" s="55" t="s">
        <v>2928</v>
      </c>
      <c r="D911" s="125">
        <v>426</v>
      </c>
      <c r="E911" s="125">
        <v>20</v>
      </c>
      <c r="F911" s="260" t="s">
        <v>3003</v>
      </c>
      <c r="G911" s="234"/>
      <c r="H911" s="202">
        <v>1.2190000000000001</v>
      </c>
    </row>
    <row r="912" spans="2:8" x14ac:dyDescent="0.25">
      <c r="B912" s="234" t="s">
        <v>3169</v>
      </c>
      <c r="C912" s="55" t="s">
        <v>2985</v>
      </c>
      <c r="D912" s="125">
        <v>426</v>
      </c>
      <c r="E912" s="125">
        <v>20</v>
      </c>
      <c r="F912" s="260" t="s">
        <v>234</v>
      </c>
      <c r="G912" s="234"/>
      <c r="H912" s="202">
        <v>0.63</v>
      </c>
    </row>
    <row r="913" spans="2:8" x14ac:dyDescent="0.25">
      <c r="B913" s="234" t="s">
        <v>3169</v>
      </c>
      <c r="C913" s="55" t="s">
        <v>2928</v>
      </c>
      <c r="D913" s="125">
        <v>426</v>
      </c>
      <c r="E913" s="125">
        <v>20</v>
      </c>
      <c r="F913" s="260" t="s">
        <v>3003</v>
      </c>
      <c r="G913" s="234"/>
      <c r="H913" s="202">
        <v>0.47799999999999998</v>
      </c>
    </row>
    <row r="914" spans="2:8" x14ac:dyDescent="0.25">
      <c r="B914" s="112" t="s">
        <v>2908</v>
      </c>
      <c r="C914" s="55">
        <v>20</v>
      </c>
      <c r="D914" s="125">
        <v>426</v>
      </c>
      <c r="E914" s="125">
        <v>20</v>
      </c>
      <c r="F914" s="260" t="s">
        <v>150</v>
      </c>
      <c r="G914" s="234"/>
      <c r="H914" s="202">
        <f>0.268-0.02-0.028</f>
        <v>0.22000000000000003</v>
      </c>
    </row>
    <row r="915" spans="2:8" x14ac:dyDescent="0.25">
      <c r="B915" s="112" t="s">
        <v>2908</v>
      </c>
      <c r="C915" s="55">
        <v>20</v>
      </c>
      <c r="D915" s="125">
        <v>426</v>
      </c>
      <c r="E915" s="125">
        <v>22</v>
      </c>
      <c r="F915" s="260" t="s">
        <v>150</v>
      </c>
      <c r="G915" s="234"/>
      <c r="H915" s="202">
        <v>0.16</v>
      </c>
    </row>
    <row r="916" spans="2:8" x14ac:dyDescent="0.25">
      <c r="B916" s="112" t="s">
        <v>2908</v>
      </c>
      <c r="C916" s="257" t="s">
        <v>2977</v>
      </c>
      <c r="D916" s="257">
        <v>426</v>
      </c>
      <c r="E916" s="234">
        <v>23</v>
      </c>
      <c r="F916" s="234" t="s">
        <v>2957</v>
      </c>
      <c r="G916" s="234">
        <v>0.82</v>
      </c>
      <c r="H916" s="279">
        <v>1.806</v>
      </c>
    </row>
    <row r="917" spans="2:8" x14ac:dyDescent="0.25">
      <c r="B917" s="234" t="s">
        <v>3169</v>
      </c>
      <c r="C917" s="55" t="s">
        <v>2928</v>
      </c>
      <c r="D917" s="263">
        <v>426</v>
      </c>
      <c r="E917" s="263">
        <v>24</v>
      </c>
      <c r="F917" s="260" t="s">
        <v>3003</v>
      </c>
      <c r="G917" s="234"/>
      <c r="H917" s="202">
        <v>0.88200000000000001</v>
      </c>
    </row>
    <row r="918" spans="2:8" x14ac:dyDescent="0.25">
      <c r="B918" s="97" t="s">
        <v>3169</v>
      </c>
      <c r="C918" s="97">
        <v>20</v>
      </c>
      <c r="D918" s="97">
        <v>426</v>
      </c>
      <c r="E918" s="97">
        <v>24</v>
      </c>
      <c r="F918" s="287" t="s">
        <v>3459</v>
      </c>
      <c r="G918" s="287" t="s">
        <v>3519</v>
      </c>
      <c r="H918" s="129">
        <v>3.07</v>
      </c>
    </row>
    <row r="919" spans="2:8" x14ac:dyDescent="0.25">
      <c r="B919" s="112" t="s">
        <v>2908</v>
      </c>
      <c r="C919" s="97"/>
      <c r="D919" s="97">
        <v>426</v>
      </c>
      <c r="E919" s="97">
        <v>25</v>
      </c>
      <c r="F919" s="97" t="s">
        <v>2785</v>
      </c>
      <c r="G919" s="97">
        <v>5.76</v>
      </c>
      <c r="H919" s="278">
        <v>1.4259999999999999</v>
      </c>
    </row>
    <row r="920" spans="2:8" x14ac:dyDescent="0.25">
      <c r="B920" s="112" t="s">
        <v>2908</v>
      </c>
      <c r="C920" s="97" t="s">
        <v>210</v>
      </c>
      <c r="D920" s="97">
        <v>426</v>
      </c>
      <c r="E920" s="97">
        <v>25</v>
      </c>
      <c r="F920" s="287" t="s">
        <v>2785</v>
      </c>
      <c r="G920" s="287" t="s">
        <v>3400</v>
      </c>
      <c r="H920" s="129">
        <v>9.6950000000000003</v>
      </c>
    </row>
    <row r="921" spans="2:8" x14ac:dyDescent="0.25">
      <c r="B921" s="97" t="s">
        <v>3169</v>
      </c>
      <c r="C921" s="97" t="s">
        <v>713</v>
      </c>
      <c r="D921" s="97">
        <v>426</v>
      </c>
      <c r="E921" s="97">
        <v>25</v>
      </c>
      <c r="F921" s="287" t="s">
        <v>3520</v>
      </c>
      <c r="G921" s="287" t="s">
        <v>3521</v>
      </c>
      <c r="H921" s="129">
        <v>2.46</v>
      </c>
    </row>
    <row r="922" spans="2:8" x14ac:dyDescent="0.25">
      <c r="B922" s="112" t="s">
        <v>2908</v>
      </c>
      <c r="C922" s="97">
        <v>20</v>
      </c>
      <c r="D922" s="97">
        <v>426</v>
      </c>
      <c r="E922" s="97">
        <v>26</v>
      </c>
      <c r="F922" s="287" t="s">
        <v>3401</v>
      </c>
      <c r="G922" s="287" t="s">
        <v>3283</v>
      </c>
      <c r="H922" s="129">
        <v>2.5379999999999998</v>
      </c>
    </row>
    <row r="923" spans="2:8" x14ac:dyDescent="0.25">
      <c r="B923" s="97" t="s">
        <v>3169</v>
      </c>
      <c r="C923" s="97">
        <v>20</v>
      </c>
      <c r="D923" s="97">
        <v>426</v>
      </c>
      <c r="E923" s="97">
        <v>26</v>
      </c>
      <c r="F923" s="287" t="s">
        <v>234</v>
      </c>
      <c r="G923" s="287" t="s">
        <v>3283</v>
      </c>
      <c r="H923" s="129">
        <v>2.5379999999999998</v>
      </c>
    </row>
    <row r="924" spans="2:8" x14ac:dyDescent="0.25">
      <c r="B924" s="112" t="s">
        <v>2908</v>
      </c>
      <c r="C924" s="55" t="s">
        <v>2946</v>
      </c>
      <c r="D924" s="263">
        <v>426</v>
      </c>
      <c r="E924" s="263">
        <v>28</v>
      </c>
      <c r="F924" s="260" t="s">
        <v>150</v>
      </c>
      <c r="G924" s="234"/>
      <c r="H924" s="202">
        <v>2.5499999999999998</v>
      </c>
    </row>
    <row r="925" spans="2:8" x14ac:dyDescent="0.25">
      <c r="B925" s="97" t="s">
        <v>3169</v>
      </c>
      <c r="C925" s="97">
        <v>20</v>
      </c>
      <c r="D925" s="97">
        <v>426</v>
      </c>
      <c r="E925" s="97">
        <v>30</v>
      </c>
      <c r="F925" s="287" t="s">
        <v>3459</v>
      </c>
      <c r="G925" s="287" t="s">
        <v>3522</v>
      </c>
      <c r="H925" s="129">
        <v>3.1850000000000001</v>
      </c>
    </row>
    <row r="926" spans="2:8" x14ac:dyDescent="0.25">
      <c r="B926" s="234" t="s">
        <v>3169</v>
      </c>
      <c r="C926" s="55" t="s">
        <v>2985</v>
      </c>
      <c r="D926" s="263">
        <v>426</v>
      </c>
      <c r="E926" s="263">
        <v>36</v>
      </c>
      <c r="F926" s="260" t="s">
        <v>3003</v>
      </c>
      <c r="G926" s="234"/>
      <c r="H926" s="201">
        <v>0.33</v>
      </c>
    </row>
    <row r="927" spans="2:8" x14ac:dyDescent="0.25">
      <c r="B927" s="97" t="s">
        <v>3169</v>
      </c>
      <c r="C927" s="97" t="s">
        <v>314</v>
      </c>
      <c r="D927" s="97">
        <v>426</v>
      </c>
      <c r="E927" s="97">
        <v>36</v>
      </c>
      <c r="F927" s="287" t="s">
        <v>234</v>
      </c>
      <c r="G927" s="287" t="s">
        <v>3523</v>
      </c>
      <c r="H927" s="129">
        <v>2.12</v>
      </c>
    </row>
    <row r="928" spans="2:8" x14ac:dyDescent="0.25">
      <c r="B928" s="234" t="s">
        <v>3169</v>
      </c>
      <c r="C928" s="55" t="s">
        <v>2988</v>
      </c>
      <c r="D928" s="125">
        <v>426</v>
      </c>
      <c r="E928" s="125">
        <v>38</v>
      </c>
      <c r="F928" s="260" t="s">
        <v>3003</v>
      </c>
      <c r="G928" s="234"/>
      <c r="H928" s="202">
        <v>2.8220000000000001</v>
      </c>
    </row>
    <row r="929" spans="2:8" x14ac:dyDescent="0.25">
      <c r="B929" s="97" t="s">
        <v>3169</v>
      </c>
      <c r="C929" s="97" t="s">
        <v>315</v>
      </c>
      <c r="D929" s="97">
        <v>426</v>
      </c>
      <c r="E929" s="97">
        <v>38</v>
      </c>
      <c r="F929" s="287" t="s">
        <v>234</v>
      </c>
      <c r="G929" s="287" t="s">
        <v>3524</v>
      </c>
      <c r="H929" s="129">
        <v>1.48</v>
      </c>
    </row>
    <row r="930" spans="2:8" x14ac:dyDescent="0.25">
      <c r="B930" s="112" t="s">
        <v>2908</v>
      </c>
      <c r="C930" s="97" t="s">
        <v>210</v>
      </c>
      <c r="D930" s="97">
        <v>426</v>
      </c>
      <c r="E930" s="97">
        <v>40</v>
      </c>
      <c r="F930" s="287" t="s">
        <v>2785</v>
      </c>
      <c r="G930" s="287" t="s">
        <v>3402</v>
      </c>
      <c r="H930" s="129">
        <v>25.975000000000001</v>
      </c>
    </row>
    <row r="931" spans="2:8" x14ac:dyDescent="0.25">
      <c r="B931" s="112" t="s">
        <v>2908</v>
      </c>
      <c r="C931" s="97">
        <v>20</v>
      </c>
      <c r="D931" s="97">
        <v>426</v>
      </c>
      <c r="E931" s="97">
        <v>40</v>
      </c>
      <c r="F931" s="287" t="s">
        <v>3401</v>
      </c>
      <c r="G931" s="287" t="s">
        <v>3403</v>
      </c>
      <c r="H931" s="129">
        <v>11.86</v>
      </c>
    </row>
    <row r="932" spans="2:8" x14ac:dyDescent="0.25">
      <c r="B932" s="97" t="s">
        <v>3169</v>
      </c>
      <c r="C932" s="97">
        <v>20</v>
      </c>
      <c r="D932" s="97">
        <v>426</v>
      </c>
      <c r="E932" s="97">
        <v>40</v>
      </c>
      <c r="F932" s="287" t="s">
        <v>3459</v>
      </c>
      <c r="G932" s="287" t="s">
        <v>3403</v>
      </c>
      <c r="H932" s="129">
        <v>11.86</v>
      </c>
    </row>
    <row r="933" spans="2:8" x14ac:dyDescent="0.25">
      <c r="B933" s="234" t="s">
        <v>3169</v>
      </c>
      <c r="C933" s="55" t="s">
        <v>2988</v>
      </c>
      <c r="D933" s="125">
        <v>426</v>
      </c>
      <c r="E933" s="125">
        <v>42</v>
      </c>
      <c r="F933" s="260" t="s">
        <v>3003</v>
      </c>
      <c r="G933" s="234"/>
      <c r="H933" s="202">
        <v>2.891</v>
      </c>
    </row>
    <row r="934" spans="2:8" x14ac:dyDescent="0.25">
      <c r="B934" s="234" t="s">
        <v>3169</v>
      </c>
      <c r="C934" s="55" t="s">
        <v>2988</v>
      </c>
      <c r="D934" s="125">
        <v>426</v>
      </c>
      <c r="E934" s="125">
        <v>42</v>
      </c>
      <c r="F934" s="260" t="s">
        <v>3003</v>
      </c>
      <c r="G934" s="234"/>
      <c r="H934" s="202">
        <v>5.7830000000000004</v>
      </c>
    </row>
    <row r="935" spans="2:8" x14ac:dyDescent="0.25">
      <c r="B935" s="97" t="s">
        <v>3169</v>
      </c>
      <c r="C935" s="97" t="s">
        <v>315</v>
      </c>
      <c r="D935" s="97">
        <v>426</v>
      </c>
      <c r="E935" s="97">
        <v>42</v>
      </c>
      <c r="F935" s="287" t="s">
        <v>234</v>
      </c>
      <c r="G935" s="287" t="s">
        <v>3525</v>
      </c>
      <c r="H935" s="129">
        <v>4.25</v>
      </c>
    </row>
    <row r="936" spans="2:8" x14ac:dyDescent="0.25">
      <c r="B936" s="112" t="s">
        <v>2908</v>
      </c>
      <c r="C936" s="234" t="s">
        <v>210</v>
      </c>
      <c r="D936" s="234">
        <v>426</v>
      </c>
      <c r="E936" s="106">
        <v>45</v>
      </c>
      <c r="F936" s="198" t="s">
        <v>2785</v>
      </c>
      <c r="G936" s="86">
        <v>6.7</v>
      </c>
      <c r="H936" s="201">
        <v>2.81</v>
      </c>
    </row>
    <row r="937" spans="2:8" x14ac:dyDescent="0.25">
      <c r="B937" s="112" t="s">
        <v>2908</v>
      </c>
      <c r="C937" s="97">
        <v>20</v>
      </c>
      <c r="D937" s="97">
        <v>426</v>
      </c>
      <c r="E937" s="97">
        <v>45</v>
      </c>
      <c r="F937" s="287" t="s">
        <v>3401</v>
      </c>
      <c r="G937" s="287" t="s">
        <v>3404</v>
      </c>
      <c r="H937" s="129">
        <v>2.57</v>
      </c>
    </row>
    <row r="938" spans="2:8" x14ac:dyDescent="0.25">
      <c r="B938" s="97" t="s">
        <v>3169</v>
      </c>
      <c r="C938" s="97">
        <v>20</v>
      </c>
      <c r="D938" s="97">
        <v>426</v>
      </c>
      <c r="E938" s="97">
        <v>45</v>
      </c>
      <c r="F938" s="287" t="s">
        <v>3459</v>
      </c>
      <c r="G938" s="287" t="s">
        <v>3404</v>
      </c>
      <c r="H938" s="129">
        <v>2.57</v>
      </c>
    </row>
    <row r="939" spans="2:8" x14ac:dyDescent="0.25">
      <c r="B939" s="234" t="s">
        <v>3169</v>
      </c>
      <c r="C939" s="55" t="s">
        <v>2988</v>
      </c>
      <c r="D939" s="263">
        <v>426</v>
      </c>
      <c r="E939" s="263">
        <v>50</v>
      </c>
      <c r="F939" s="260" t="s">
        <v>3003</v>
      </c>
      <c r="G939" s="234"/>
      <c r="H939" s="202">
        <v>0</v>
      </c>
    </row>
    <row r="940" spans="2:8" x14ac:dyDescent="0.25">
      <c r="B940" s="234" t="s">
        <v>3169</v>
      </c>
      <c r="C940" s="55" t="s">
        <v>2985</v>
      </c>
      <c r="D940" s="263">
        <v>426</v>
      </c>
      <c r="E940" s="263">
        <v>50</v>
      </c>
      <c r="F940" s="260" t="s">
        <v>3006</v>
      </c>
      <c r="G940" s="234"/>
      <c r="H940" s="202">
        <v>6.2889999999999997</v>
      </c>
    </row>
    <row r="941" spans="2:8" x14ac:dyDescent="0.25">
      <c r="B941" s="97" t="s">
        <v>3169</v>
      </c>
      <c r="C941" s="97" t="s">
        <v>315</v>
      </c>
      <c r="D941" s="97">
        <v>426</v>
      </c>
      <c r="E941" s="97">
        <v>50</v>
      </c>
      <c r="F941" s="287" t="s">
        <v>234</v>
      </c>
      <c r="G941" s="287" t="s">
        <v>3526</v>
      </c>
      <c r="H941" s="129">
        <v>5.94</v>
      </c>
    </row>
    <row r="942" spans="2:8" x14ac:dyDescent="0.25">
      <c r="B942" s="234" t="s">
        <v>202</v>
      </c>
      <c r="C942" s="112">
        <v>20</v>
      </c>
      <c r="D942" s="237">
        <v>426</v>
      </c>
      <c r="E942" s="24" t="s">
        <v>239</v>
      </c>
      <c r="F942" s="77" t="s">
        <v>225</v>
      </c>
      <c r="G942" s="77">
        <v>12</v>
      </c>
      <c r="H942" s="272">
        <v>9.9</v>
      </c>
    </row>
    <row r="943" spans="2:8" x14ac:dyDescent="0.25">
      <c r="B943" s="112" t="s">
        <v>2908</v>
      </c>
      <c r="C943" s="55" t="s">
        <v>2982</v>
      </c>
      <c r="D943" s="125">
        <v>440</v>
      </c>
      <c r="E943" s="125">
        <v>56</v>
      </c>
      <c r="F943" s="260" t="s">
        <v>150</v>
      </c>
      <c r="G943" s="234"/>
      <c r="H943" s="202">
        <v>0.60499999999999998</v>
      </c>
    </row>
    <row r="944" spans="2:8" x14ac:dyDescent="0.25">
      <c r="B944" s="112" t="s">
        <v>2908</v>
      </c>
      <c r="C944" s="55" t="s">
        <v>311</v>
      </c>
      <c r="D944" s="125">
        <v>450</v>
      </c>
      <c r="E944" s="125">
        <v>28</v>
      </c>
      <c r="F944" s="260" t="s">
        <v>150</v>
      </c>
      <c r="G944" s="234"/>
      <c r="H944" s="202">
        <f>2.89-0.38-0.521</f>
        <v>1.9890000000000003</v>
      </c>
    </row>
    <row r="945" spans="2:8" x14ac:dyDescent="0.2">
      <c r="B945" s="134" t="s">
        <v>3093</v>
      </c>
      <c r="C945" s="134" t="s">
        <v>3119</v>
      </c>
      <c r="D945" s="134">
        <v>456</v>
      </c>
      <c r="E945" s="134">
        <v>5</v>
      </c>
      <c r="F945" s="22"/>
      <c r="G945" s="22" t="s">
        <v>3143</v>
      </c>
      <c r="H945" s="181">
        <v>0.62</v>
      </c>
    </row>
    <row r="946" spans="2:8" x14ac:dyDescent="0.25">
      <c r="B946" s="112" t="s">
        <v>2908</v>
      </c>
      <c r="C946" s="269" t="s">
        <v>1711</v>
      </c>
      <c r="D946" s="125">
        <v>465</v>
      </c>
      <c r="E946" s="125">
        <v>15</v>
      </c>
      <c r="F946" s="260" t="s">
        <v>3009</v>
      </c>
      <c r="G946" s="234"/>
      <c r="H946" s="202">
        <v>5.0380000000000003</v>
      </c>
    </row>
    <row r="947" spans="2:8" x14ac:dyDescent="0.25">
      <c r="B947" s="112" t="s">
        <v>2908</v>
      </c>
      <c r="C947" s="269" t="s">
        <v>154</v>
      </c>
      <c r="D947" s="125">
        <v>465</v>
      </c>
      <c r="E947" s="125">
        <v>16</v>
      </c>
      <c r="F947" s="260" t="s">
        <v>3003</v>
      </c>
      <c r="G947" s="234"/>
      <c r="H947" s="202">
        <v>0.45300000000000001</v>
      </c>
    </row>
    <row r="948" spans="2:8" x14ac:dyDescent="0.25">
      <c r="B948" s="234" t="s">
        <v>3169</v>
      </c>
      <c r="C948" s="269" t="s">
        <v>214</v>
      </c>
      <c r="D948" s="125">
        <v>465</v>
      </c>
      <c r="E948" s="125">
        <v>16</v>
      </c>
      <c r="F948" s="260" t="s">
        <v>150</v>
      </c>
      <c r="G948" s="234"/>
      <c r="H948" s="202">
        <v>0.56100000000000005</v>
      </c>
    </row>
    <row r="949" spans="2:8" x14ac:dyDescent="0.25">
      <c r="B949" s="112" t="s">
        <v>2908</v>
      </c>
      <c r="C949" s="269" t="s">
        <v>2993</v>
      </c>
      <c r="D949" s="125">
        <v>465</v>
      </c>
      <c r="E949" s="125">
        <v>17</v>
      </c>
      <c r="F949" s="260" t="s">
        <v>3009</v>
      </c>
      <c r="G949" s="234"/>
      <c r="H949" s="202">
        <v>3.5449999999999999</v>
      </c>
    </row>
    <row r="950" spans="2:8" x14ac:dyDescent="0.25">
      <c r="B950" s="234" t="s">
        <v>3169</v>
      </c>
      <c r="C950" s="269" t="s">
        <v>2985</v>
      </c>
      <c r="D950" s="125">
        <v>465</v>
      </c>
      <c r="E950" s="125">
        <v>19</v>
      </c>
      <c r="F950" s="260" t="s">
        <v>3003</v>
      </c>
      <c r="G950" s="234"/>
      <c r="H950" s="202">
        <v>5.6479999999999997</v>
      </c>
    </row>
    <row r="951" spans="2:8" x14ac:dyDescent="0.25">
      <c r="B951" s="97" t="s">
        <v>3169</v>
      </c>
      <c r="C951" s="97" t="s">
        <v>314</v>
      </c>
      <c r="D951" s="97">
        <v>465</v>
      </c>
      <c r="E951" s="97">
        <v>19</v>
      </c>
      <c r="F951" s="287" t="s">
        <v>234</v>
      </c>
      <c r="G951" s="287" t="s">
        <v>3527</v>
      </c>
      <c r="H951" s="129">
        <v>1.38</v>
      </c>
    </row>
    <row r="952" spans="2:8" x14ac:dyDescent="0.25">
      <c r="B952" s="112" t="s">
        <v>2908</v>
      </c>
      <c r="C952" s="269" t="s">
        <v>2994</v>
      </c>
      <c r="D952" s="125">
        <v>465</v>
      </c>
      <c r="E952" s="125">
        <v>20</v>
      </c>
      <c r="F952" s="260" t="s">
        <v>3017</v>
      </c>
      <c r="G952" s="234"/>
      <c r="H952" s="202">
        <v>0.26500000000000001</v>
      </c>
    </row>
    <row r="953" spans="2:8" x14ac:dyDescent="0.25">
      <c r="B953" s="234" t="s">
        <v>3169</v>
      </c>
      <c r="C953" s="269" t="s">
        <v>2993</v>
      </c>
      <c r="D953" s="125">
        <v>465</v>
      </c>
      <c r="E953" s="125">
        <v>22</v>
      </c>
      <c r="F953" s="260" t="s">
        <v>3009</v>
      </c>
      <c r="G953" s="234"/>
      <c r="H953" s="202">
        <v>4.8639999999999999</v>
      </c>
    </row>
    <row r="954" spans="2:8" x14ac:dyDescent="0.25">
      <c r="B954" s="234" t="s">
        <v>3169</v>
      </c>
      <c r="C954" s="269" t="s">
        <v>2993</v>
      </c>
      <c r="D954" s="125">
        <v>465</v>
      </c>
      <c r="E954" s="125">
        <v>22</v>
      </c>
      <c r="F954" s="260" t="s">
        <v>3009</v>
      </c>
      <c r="G954" s="234"/>
      <c r="H954" s="202">
        <v>1.2070000000000001</v>
      </c>
    </row>
    <row r="955" spans="2:8" x14ac:dyDescent="0.25">
      <c r="B955" s="97" t="s">
        <v>3169</v>
      </c>
      <c r="C955" s="97" t="s">
        <v>312</v>
      </c>
      <c r="D955" s="97">
        <v>465</v>
      </c>
      <c r="E955" s="97">
        <v>22</v>
      </c>
      <c r="F955" s="287" t="s">
        <v>234</v>
      </c>
      <c r="G955" s="287" t="s">
        <v>3528</v>
      </c>
      <c r="H955" s="129">
        <v>10.33</v>
      </c>
    </row>
    <row r="956" spans="2:8" x14ac:dyDescent="0.25">
      <c r="B956" s="112" t="s">
        <v>2908</v>
      </c>
      <c r="C956" s="55" t="s">
        <v>154</v>
      </c>
      <c r="D956" s="125">
        <v>465</v>
      </c>
      <c r="E956" s="125">
        <v>28</v>
      </c>
      <c r="F956" s="260" t="s">
        <v>150</v>
      </c>
      <c r="G956" s="234"/>
      <c r="H956" s="202">
        <v>0.13300000000000001</v>
      </c>
    </row>
    <row r="957" spans="2:8" x14ac:dyDescent="0.25">
      <c r="B957" s="234" t="s">
        <v>3169</v>
      </c>
      <c r="C957" s="55" t="s">
        <v>2928</v>
      </c>
      <c r="D957" s="125">
        <v>465</v>
      </c>
      <c r="E957" s="125">
        <v>34</v>
      </c>
      <c r="F957" s="260" t="s">
        <v>3003</v>
      </c>
      <c r="G957" s="234"/>
      <c r="H957" s="202">
        <v>5.9119999999999999</v>
      </c>
    </row>
    <row r="958" spans="2:8" x14ac:dyDescent="0.25">
      <c r="B958" s="97" t="s">
        <v>3169</v>
      </c>
      <c r="C958" s="97" t="s">
        <v>314</v>
      </c>
      <c r="D958" s="97">
        <v>465</v>
      </c>
      <c r="E958" s="97">
        <v>34</v>
      </c>
      <c r="F958" s="287" t="s">
        <v>234</v>
      </c>
      <c r="G958" s="287" t="s">
        <v>3529</v>
      </c>
      <c r="H958" s="129">
        <v>0.17499999999999999</v>
      </c>
    </row>
    <row r="959" spans="2:8" x14ac:dyDescent="0.25">
      <c r="B959" s="97" t="s">
        <v>3169</v>
      </c>
      <c r="C959" s="97" t="s">
        <v>315</v>
      </c>
      <c r="D959" s="97">
        <v>465</v>
      </c>
      <c r="E959" s="97">
        <v>40</v>
      </c>
      <c r="F959" s="287" t="s">
        <v>234</v>
      </c>
      <c r="G959" s="287" t="s">
        <v>3530</v>
      </c>
      <c r="H959" s="129">
        <v>6.06</v>
      </c>
    </row>
    <row r="960" spans="2:8" x14ac:dyDescent="0.25">
      <c r="B960" s="234" t="s">
        <v>3169</v>
      </c>
      <c r="C960" s="269" t="s">
        <v>2983</v>
      </c>
      <c r="D960" s="125">
        <v>465</v>
      </c>
      <c r="E960" s="125">
        <v>56</v>
      </c>
      <c r="F960" s="260" t="s">
        <v>3003</v>
      </c>
      <c r="G960" s="234"/>
      <c r="H960" s="202">
        <f>3.189-1.672</f>
        <v>1.5170000000000001</v>
      </c>
    </row>
    <row r="961" spans="2:8" x14ac:dyDescent="0.25">
      <c r="B961" s="234" t="s">
        <v>3169</v>
      </c>
      <c r="C961" s="55" t="s">
        <v>2988</v>
      </c>
      <c r="D961" s="125">
        <v>465</v>
      </c>
      <c r="E961" s="125">
        <v>75</v>
      </c>
      <c r="F961" s="260" t="s">
        <v>3003</v>
      </c>
      <c r="G961" s="234"/>
      <c r="H961" s="202">
        <v>3.9249999999999998</v>
      </c>
    </row>
    <row r="962" spans="2:8" x14ac:dyDescent="0.25">
      <c r="B962" s="112" t="s">
        <v>2908</v>
      </c>
      <c r="C962" s="97">
        <v>20</v>
      </c>
      <c r="D962" s="97">
        <v>485</v>
      </c>
      <c r="E962" s="97">
        <v>45</v>
      </c>
      <c r="F962" s="287" t="s">
        <v>3401</v>
      </c>
      <c r="G962" s="287" t="s">
        <v>3405</v>
      </c>
      <c r="H962" s="129">
        <v>15.33</v>
      </c>
    </row>
    <row r="963" spans="2:8" x14ac:dyDescent="0.25">
      <c r="B963" s="234" t="s">
        <v>3169</v>
      </c>
      <c r="C963" s="55" t="s">
        <v>2928</v>
      </c>
      <c r="D963" s="125">
        <v>508</v>
      </c>
      <c r="E963" s="86">
        <v>22.23</v>
      </c>
      <c r="F963" s="260" t="s">
        <v>3003</v>
      </c>
      <c r="G963" s="234"/>
      <c r="H963" s="202">
        <v>3.1880000000000002</v>
      </c>
    </row>
    <row r="964" spans="2:8" x14ac:dyDescent="0.25">
      <c r="B964" s="112" t="s">
        <v>2908</v>
      </c>
      <c r="C964" s="55" t="s">
        <v>154</v>
      </c>
      <c r="D964" s="125">
        <v>508</v>
      </c>
      <c r="E964" s="265">
        <v>25</v>
      </c>
      <c r="F964" s="260" t="s">
        <v>150</v>
      </c>
      <c r="G964" s="234"/>
      <c r="H964" s="202">
        <f>2.769-0.148</f>
        <v>2.621</v>
      </c>
    </row>
    <row r="965" spans="2:8" x14ac:dyDescent="0.25">
      <c r="B965" s="112" t="s">
        <v>2908</v>
      </c>
      <c r="C965" s="97" t="s">
        <v>3063</v>
      </c>
      <c r="D965" s="97">
        <v>508</v>
      </c>
      <c r="E965" s="97">
        <v>26</v>
      </c>
      <c r="F965" s="287" t="s">
        <v>2785</v>
      </c>
      <c r="G965" s="287" t="s">
        <v>3406</v>
      </c>
      <c r="H965" s="129">
        <v>3.59</v>
      </c>
    </row>
    <row r="966" spans="2:8" x14ac:dyDescent="0.25">
      <c r="B966" s="112" t="s">
        <v>2908</v>
      </c>
      <c r="C966" s="55" t="s">
        <v>2947</v>
      </c>
      <c r="D966" s="125">
        <v>508</v>
      </c>
      <c r="E966" s="125">
        <v>36</v>
      </c>
      <c r="F966" s="260" t="s">
        <v>150</v>
      </c>
      <c r="G966" s="234"/>
      <c r="H966" s="202">
        <f>1.457-0.095</f>
        <v>1.3620000000000001</v>
      </c>
    </row>
    <row r="967" spans="2:8" x14ac:dyDescent="0.25">
      <c r="B967" s="112" t="s">
        <v>2908</v>
      </c>
      <c r="C967" s="55" t="s">
        <v>2947</v>
      </c>
      <c r="D967" s="125">
        <v>508</v>
      </c>
      <c r="E967" s="125">
        <v>36</v>
      </c>
      <c r="F967" s="260" t="s">
        <v>150</v>
      </c>
      <c r="G967" s="234"/>
      <c r="H967" s="202">
        <v>0.88800000000000001</v>
      </c>
    </row>
    <row r="968" spans="2:8" x14ac:dyDescent="0.25">
      <c r="B968" s="112" t="s">
        <v>2908</v>
      </c>
      <c r="C968" s="55" t="s">
        <v>2947</v>
      </c>
      <c r="D968" s="125">
        <v>508</v>
      </c>
      <c r="E968" s="125">
        <v>36</v>
      </c>
      <c r="F968" s="260" t="s">
        <v>287</v>
      </c>
      <c r="G968" s="234"/>
      <c r="H968" s="202">
        <v>1.034</v>
      </c>
    </row>
    <row r="969" spans="2:8" x14ac:dyDescent="0.25">
      <c r="B969" s="112" t="s">
        <v>2908</v>
      </c>
      <c r="C969" s="55" t="s">
        <v>2947</v>
      </c>
      <c r="D969" s="125">
        <v>508</v>
      </c>
      <c r="E969" s="201">
        <v>39.67</v>
      </c>
      <c r="F969" s="260" t="s">
        <v>150</v>
      </c>
      <c r="G969" s="234"/>
      <c r="H969" s="202">
        <f>8.932-5.938</f>
        <v>2.9940000000000007</v>
      </c>
    </row>
    <row r="970" spans="2:8" x14ac:dyDescent="0.25">
      <c r="B970" s="97" t="s">
        <v>3169</v>
      </c>
      <c r="C970" s="97" t="s">
        <v>220</v>
      </c>
      <c r="D970" s="97">
        <v>508</v>
      </c>
      <c r="E970" s="97">
        <v>45</v>
      </c>
      <c r="F970" s="287" t="s">
        <v>234</v>
      </c>
      <c r="G970" s="287" t="s">
        <v>3531</v>
      </c>
      <c r="H970" s="129">
        <v>2.0249999999999999</v>
      </c>
    </row>
    <row r="971" spans="2:8" x14ac:dyDescent="0.2">
      <c r="B971" s="134" t="s">
        <v>202</v>
      </c>
      <c r="C971" s="134" t="s">
        <v>210</v>
      </c>
      <c r="D971" s="134">
        <v>530</v>
      </c>
      <c r="E971" s="134">
        <v>6</v>
      </c>
      <c r="F971" s="22" t="s">
        <v>224</v>
      </c>
      <c r="G971" s="22" t="s">
        <v>3073</v>
      </c>
      <c r="H971" s="181">
        <v>3.59</v>
      </c>
    </row>
    <row r="972" spans="2:8" x14ac:dyDescent="0.2">
      <c r="B972" s="134" t="s">
        <v>202</v>
      </c>
      <c r="C972" s="134">
        <v>20</v>
      </c>
      <c r="D972" s="134">
        <v>530</v>
      </c>
      <c r="E972" s="134">
        <v>7</v>
      </c>
      <c r="F972" s="22" t="s">
        <v>2794</v>
      </c>
      <c r="G972" s="22" t="s">
        <v>3074</v>
      </c>
      <c r="H972" s="181">
        <v>4.09</v>
      </c>
    </row>
    <row r="973" spans="2:8" x14ac:dyDescent="0.2">
      <c r="B973" s="204" t="s">
        <v>202</v>
      </c>
      <c r="C973" s="234" t="s">
        <v>250</v>
      </c>
      <c r="D973" s="234">
        <v>530</v>
      </c>
      <c r="E973" s="106">
        <v>8</v>
      </c>
      <c r="F973" s="200" t="s">
        <v>2794</v>
      </c>
      <c r="G973" s="239">
        <v>11.6</v>
      </c>
      <c r="H973" s="199">
        <v>1.21</v>
      </c>
    </row>
    <row r="974" spans="2:8" x14ac:dyDescent="0.25">
      <c r="B974" s="187" t="s">
        <v>202</v>
      </c>
      <c r="C974" s="112">
        <v>20</v>
      </c>
      <c r="D974" s="112">
        <v>530</v>
      </c>
      <c r="E974" s="112">
        <v>8</v>
      </c>
      <c r="F974" s="187" t="s">
        <v>2794</v>
      </c>
      <c r="G974" s="234">
        <v>11.37</v>
      </c>
      <c r="H974" s="277">
        <v>1.171</v>
      </c>
    </row>
    <row r="975" spans="2:8" x14ac:dyDescent="0.25">
      <c r="B975" s="234" t="s">
        <v>2902</v>
      </c>
      <c r="C975" s="234"/>
      <c r="D975" s="234">
        <v>530</v>
      </c>
      <c r="E975" s="234">
        <v>8</v>
      </c>
      <c r="F975" s="244"/>
      <c r="G975" s="234"/>
      <c r="H975" s="274">
        <v>16.5</v>
      </c>
    </row>
    <row r="976" spans="2:8" x14ac:dyDescent="0.25">
      <c r="B976" s="97" t="s">
        <v>202</v>
      </c>
      <c r="C976" s="97" t="s">
        <v>215</v>
      </c>
      <c r="D976" s="97">
        <v>530</v>
      </c>
      <c r="E976" s="97">
        <v>8</v>
      </c>
      <c r="F976" s="97" t="s">
        <v>2917</v>
      </c>
      <c r="G976" s="97"/>
      <c r="H976" s="278">
        <v>6</v>
      </c>
    </row>
    <row r="977" spans="2:8" x14ac:dyDescent="0.25">
      <c r="B977" s="97" t="s">
        <v>202</v>
      </c>
      <c r="C977" s="257" t="s">
        <v>2816</v>
      </c>
      <c r="D977" s="257">
        <v>530</v>
      </c>
      <c r="E977" s="234">
        <v>8</v>
      </c>
      <c r="F977" s="234" t="s">
        <v>2962</v>
      </c>
      <c r="G977" s="234">
        <v>11.6</v>
      </c>
      <c r="H977" s="279">
        <v>1.1950000000000001</v>
      </c>
    </row>
    <row r="978" spans="2:8" x14ac:dyDescent="0.2">
      <c r="B978" s="134" t="s">
        <v>202</v>
      </c>
      <c r="C978" s="134"/>
      <c r="D978" s="134">
        <v>530</v>
      </c>
      <c r="E978" s="134">
        <v>8</v>
      </c>
      <c r="F978" s="22"/>
      <c r="G978" s="22" t="s">
        <v>3075</v>
      </c>
      <c r="H978" s="181">
        <v>1.153</v>
      </c>
    </row>
    <row r="979" spans="2:8" x14ac:dyDescent="0.25">
      <c r="B979" s="234" t="s">
        <v>2902</v>
      </c>
      <c r="C979" s="234"/>
      <c r="D979" s="234">
        <v>530</v>
      </c>
      <c r="E979" s="234">
        <v>9</v>
      </c>
      <c r="F979" s="244"/>
      <c r="G979" s="234"/>
      <c r="H979" s="274">
        <v>13</v>
      </c>
    </row>
    <row r="980" spans="2:8" x14ac:dyDescent="0.2">
      <c r="B980" s="234" t="s">
        <v>2906</v>
      </c>
      <c r="C980" s="234" t="s">
        <v>221</v>
      </c>
      <c r="D980" s="234">
        <v>530</v>
      </c>
      <c r="E980" s="234">
        <v>9</v>
      </c>
      <c r="F980" s="234"/>
      <c r="G980" s="245" t="s">
        <v>2907</v>
      </c>
      <c r="H980" s="274">
        <v>25</v>
      </c>
    </row>
    <row r="981" spans="2:8" x14ac:dyDescent="0.25">
      <c r="B981" s="234" t="s">
        <v>2902</v>
      </c>
      <c r="C981" s="234"/>
      <c r="D981" s="234">
        <v>530</v>
      </c>
      <c r="E981" s="234">
        <v>10</v>
      </c>
      <c r="F981" s="244"/>
      <c r="G981" s="234"/>
      <c r="H981" s="274">
        <v>13.5</v>
      </c>
    </row>
    <row r="982" spans="2:8" x14ac:dyDescent="0.25">
      <c r="B982" s="234" t="s">
        <v>2902</v>
      </c>
      <c r="C982" s="234"/>
      <c r="D982" s="234">
        <v>530</v>
      </c>
      <c r="E982" s="234">
        <v>10</v>
      </c>
      <c r="F982" s="244"/>
      <c r="G982" s="234"/>
      <c r="H982" s="274">
        <v>1.5</v>
      </c>
    </row>
    <row r="983" spans="2:8" x14ac:dyDescent="0.25">
      <c r="B983" s="97" t="s">
        <v>202</v>
      </c>
      <c r="C983" s="257" t="s">
        <v>250</v>
      </c>
      <c r="D983" s="257">
        <v>530</v>
      </c>
      <c r="E983" s="234">
        <v>10</v>
      </c>
      <c r="F983" s="234" t="s">
        <v>2964</v>
      </c>
      <c r="G983" s="234"/>
      <c r="H983" s="279">
        <v>4.3449999999999998</v>
      </c>
    </row>
    <row r="984" spans="2:8" x14ac:dyDescent="0.25">
      <c r="B984" s="97" t="s">
        <v>2902</v>
      </c>
      <c r="C984" s="257"/>
      <c r="D984" s="257">
        <v>530</v>
      </c>
      <c r="E984" s="234">
        <v>10</v>
      </c>
      <c r="F984" s="234" t="s">
        <v>2963</v>
      </c>
      <c r="G984" s="234">
        <v>11.68</v>
      </c>
      <c r="H984" s="279">
        <v>1.49</v>
      </c>
    </row>
    <row r="985" spans="2:8" x14ac:dyDescent="0.25">
      <c r="B985" s="112" t="s">
        <v>2908</v>
      </c>
      <c r="C985" s="55" t="s">
        <v>154</v>
      </c>
      <c r="D985" s="125">
        <v>530</v>
      </c>
      <c r="E985" s="125">
        <v>10</v>
      </c>
      <c r="F985" s="260" t="s">
        <v>150</v>
      </c>
      <c r="G985" s="234"/>
      <c r="H985" s="202">
        <f>7.896-1.258</f>
        <v>6.6379999999999999</v>
      </c>
    </row>
    <row r="986" spans="2:8" x14ac:dyDescent="0.25">
      <c r="B986" s="112" t="s">
        <v>2908</v>
      </c>
      <c r="C986" s="55" t="s">
        <v>2946</v>
      </c>
      <c r="D986" s="125">
        <v>530</v>
      </c>
      <c r="E986" s="125">
        <v>10</v>
      </c>
      <c r="F986" s="260" t="s">
        <v>150</v>
      </c>
      <c r="G986" s="234"/>
      <c r="H986" s="202">
        <f>10.625-3.156-1.052</f>
        <v>6.4169999999999998</v>
      </c>
    </row>
    <row r="987" spans="2:8" x14ac:dyDescent="0.2">
      <c r="B987" s="134" t="s">
        <v>202</v>
      </c>
      <c r="C987" s="134" t="s">
        <v>210</v>
      </c>
      <c r="D987" s="134">
        <v>530</v>
      </c>
      <c r="E987" s="134">
        <v>10</v>
      </c>
      <c r="F987" s="22" t="s">
        <v>224</v>
      </c>
      <c r="G987" s="22" t="s">
        <v>3076</v>
      </c>
      <c r="H987" s="181">
        <v>1.48</v>
      </c>
    </row>
    <row r="988" spans="2:8" x14ac:dyDescent="0.2">
      <c r="B988" s="134" t="s">
        <v>202</v>
      </c>
      <c r="C988" s="134" t="s">
        <v>3077</v>
      </c>
      <c r="D988" s="134">
        <v>530</v>
      </c>
      <c r="E988" s="134">
        <v>10</v>
      </c>
      <c r="F988" s="22" t="s">
        <v>2952</v>
      </c>
      <c r="G988" s="22" t="s">
        <v>3078</v>
      </c>
      <c r="H988" s="181">
        <v>1.125</v>
      </c>
    </row>
    <row r="989" spans="2:8" x14ac:dyDescent="0.2">
      <c r="B989" s="134" t="s">
        <v>202</v>
      </c>
      <c r="C989" s="134" t="s">
        <v>3021</v>
      </c>
      <c r="D989" s="134">
        <v>530</v>
      </c>
      <c r="E989" s="134">
        <v>11</v>
      </c>
      <c r="F989" s="22" t="s">
        <v>224</v>
      </c>
      <c r="G989" s="22" t="s">
        <v>3079</v>
      </c>
      <c r="H989" s="181">
        <v>6.05</v>
      </c>
    </row>
    <row r="990" spans="2:8" x14ac:dyDescent="0.25">
      <c r="B990" s="234" t="s">
        <v>2902</v>
      </c>
      <c r="C990" s="234"/>
      <c r="D990" s="234">
        <v>530</v>
      </c>
      <c r="E990" s="234">
        <v>12</v>
      </c>
      <c r="F990" s="244"/>
      <c r="G990" s="234"/>
      <c r="H990" s="274">
        <v>20</v>
      </c>
    </row>
    <row r="991" spans="2:8" x14ac:dyDescent="0.25">
      <c r="B991" s="97" t="s">
        <v>202</v>
      </c>
      <c r="C991" s="97" t="s">
        <v>203</v>
      </c>
      <c r="D991" s="97">
        <v>530</v>
      </c>
      <c r="E991" s="97">
        <v>12</v>
      </c>
      <c r="F991" s="97" t="s">
        <v>2918</v>
      </c>
      <c r="G991" s="97"/>
      <c r="H991" s="278">
        <v>1.84</v>
      </c>
    </row>
    <row r="992" spans="2:8" x14ac:dyDescent="0.25">
      <c r="B992" s="112" t="s">
        <v>2908</v>
      </c>
      <c r="C992" s="55" t="s">
        <v>154</v>
      </c>
      <c r="D992" s="125">
        <v>530</v>
      </c>
      <c r="E992" s="125">
        <v>12</v>
      </c>
      <c r="F992" s="260" t="s">
        <v>150</v>
      </c>
      <c r="G992" s="234"/>
      <c r="H992" s="202">
        <v>7.984</v>
      </c>
    </row>
    <row r="993" spans="2:8" x14ac:dyDescent="0.25">
      <c r="B993" s="112" t="s">
        <v>2908</v>
      </c>
      <c r="C993" s="55" t="s">
        <v>2946</v>
      </c>
      <c r="D993" s="125">
        <v>530</v>
      </c>
      <c r="E993" s="125">
        <v>12</v>
      </c>
      <c r="F993" s="260" t="s">
        <v>150</v>
      </c>
      <c r="G993" s="234"/>
      <c r="H993" s="202">
        <v>9.6069999999999993</v>
      </c>
    </row>
    <row r="994" spans="2:8" x14ac:dyDescent="0.25">
      <c r="B994" s="112" t="s">
        <v>2908</v>
      </c>
      <c r="C994" s="55" t="s">
        <v>2946</v>
      </c>
      <c r="D994" s="125">
        <v>530</v>
      </c>
      <c r="E994" s="125">
        <v>12</v>
      </c>
      <c r="F994" s="260" t="s">
        <v>150</v>
      </c>
      <c r="G994" s="234"/>
      <c r="H994" s="202">
        <v>1.24</v>
      </c>
    </row>
    <row r="995" spans="2:8" x14ac:dyDescent="0.25">
      <c r="B995" s="234" t="s">
        <v>3169</v>
      </c>
      <c r="C995" s="269" t="s">
        <v>2930</v>
      </c>
      <c r="D995" s="125">
        <v>530</v>
      </c>
      <c r="E995" s="125">
        <v>12</v>
      </c>
      <c r="F995" s="260" t="s">
        <v>229</v>
      </c>
      <c r="G995" s="234"/>
      <c r="H995" s="202">
        <v>5.09</v>
      </c>
    </row>
    <row r="996" spans="2:8" x14ac:dyDescent="0.2">
      <c r="B996" s="134" t="s">
        <v>202</v>
      </c>
      <c r="C996" s="134" t="s">
        <v>210</v>
      </c>
      <c r="D996" s="134">
        <v>530</v>
      </c>
      <c r="E996" s="134">
        <v>12</v>
      </c>
      <c r="F996" s="22" t="s">
        <v>224</v>
      </c>
      <c r="G996" s="22" t="s">
        <v>3080</v>
      </c>
      <c r="H996" s="181">
        <v>21.824999999999999</v>
      </c>
    </row>
    <row r="997" spans="2:8" x14ac:dyDescent="0.2">
      <c r="B997" s="134" t="s">
        <v>202</v>
      </c>
      <c r="C997" s="134" t="s">
        <v>3081</v>
      </c>
      <c r="D997" s="134">
        <v>530</v>
      </c>
      <c r="E997" s="134">
        <v>12</v>
      </c>
      <c r="F997" s="22" t="s">
        <v>224</v>
      </c>
      <c r="G997" s="22" t="s">
        <v>3082</v>
      </c>
      <c r="H997" s="181">
        <v>3.52</v>
      </c>
    </row>
    <row r="998" spans="2:8" x14ac:dyDescent="0.2">
      <c r="B998" s="134" t="s">
        <v>202</v>
      </c>
      <c r="C998" s="134" t="s">
        <v>3083</v>
      </c>
      <c r="D998" s="134">
        <v>530</v>
      </c>
      <c r="E998" s="134">
        <v>12</v>
      </c>
      <c r="F998" s="22" t="s">
        <v>257</v>
      </c>
      <c r="G998" s="22" t="s">
        <v>3084</v>
      </c>
      <c r="H998" s="181">
        <v>1.105</v>
      </c>
    </row>
    <row r="999" spans="2:8" x14ac:dyDescent="0.2">
      <c r="B999" s="134" t="s">
        <v>202</v>
      </c>
      <c r="C999" s="134" t="s">
        <v>3021</v>
      </c>
      <c r="D999" s="134">
        <v>530</v>
      </c>
      <c r="E999" s="134">
        <v>12.9</v>
      </c>
      <c r="F999" s="22" t="s">
        <v>3085</v>
      </c>
      <c r="G999" s="22" t="s">
        <v>3086</v>
      </c>
      <c r="H999" s="181">
        <v>7.25</v>
      </c>
    </row>
    <row r="1000" spans="2:8" x14ac:dyDescent="0.2">
      <c r="B1000" s="134" t="s">
        <v>202</v>
      </c>
      <c r="C1000" s="134" t="s">
        <v>222</v>
      </c>
      <c r="D1000" s="134">
        <v>530</v>
      </c>
      <c r="E1000" s="134">
        <v>14.2</v>
      </c>
      <c r="F1000" s="22" t="s">
        <v>3085</v>
      </c>
      <c r="G1000" s="22" t="s">
        <v>3087</v>
      </c>
      <c r="H1000" s="181">
        <v>2.0099999999999998</v>
      </c>
    </row>
    <row r="1001" spans="2:8" x14ac:dyDescent="0.2">
      <c r="B1001" s="134" t="s">
        <v>202</v>
      </c>
      <c r="C1001" s="134" t="s">
        <v>222</v>
      </c>
      <c r="D1001" s="134">
        <v>530</v>
      </c>
      <c r="E1001" s="134">
        <v>15.5</v>
      </c>
      <c r="F1001" s="22" t="s">
        <v>3085</v>
      </c>
      <c r="G1001" s="22" t="s">
        <v>3088</v>
      </c>
      <c r="H1001" s="181">
        <v>18.25</v>
      </c>
    </row>
    <row r="1002" spans="2:8" x14ac:dyDescent="0.2">
      <c r="B1002" s="134" t="s">
        <v>202</v>
      </c>
      <c r="C1002" s="134" t="s">
        <v>2817</v>
      </c>
      <c r="D1002" s="134">
        <v>530</v>
      </c>
      <c r="E1002" s="134">
        <v>15.5</v>
      </c>
      <c r="F1002" s="22" t="s">
        <v>3085</v>
      </c>
      <c r="G1002" s="22" t="s">
        <v>3089</v>
      </c>
      <c r="H1002" s="181">
        <v>1.5549999999999999</v>
      </c>
    </row>
    <row r="1003" spans="2:8" x14ac:dyDescent="0.2">
      <c r="B1003" s="134" t="s">
        <v>202</v>
      </c>
      <c r="C1003" s="134" t="s">
        <v>2817</v>
      </c>
      <c r="D1003" s="134">
        <v>530</v>
      </c>
      <c r="E1003" s="134">
        <v>18</v>
      </c>
      <c r="F1003" s="22" t="s">
        <v>2949</v>
      </c>
      <c r="G1003" s="22" t="s">
        <v>3090</v>
      </c>
      <c r="H1003" s="181">
        <v>0.67</v>
      </c>
    </row>
    <row r="1004" spans="2:8" x14ac:dyDescent="0.2">
      <c r="B1004" s="134" t="s">
        <v>202</v>
      </c>
      <c r="C1004" s="134" t="s">
        <v>203</v>
      </c>
      <c r="D1004" s="134">
        <v>530</v>
      </c>
      <c r="E1004" s="134">
        <v>21</v>
      </c>
      <c r="F1004" s="22" t="s">
        <v>3024</v>
      </c>
      <c r="G1004" s="22" t="s">
        <v>3051</v>
      </c>
      <c r="H1004" s="181">
        <v>2.0499999999999998</v>
      </c>
    </row>
    <row r="1005" spans="2:8" x14ac:dyDescent="0.25">
      <c r="B1005" s="234" t="s">
        <v>3169</v>
      </c>
      <c r="C1005" s="269" t="s">
        <v>2988</v>
      </c>
      <c r="D1005" s="125">
        <v>530</v>
      </c>
      <c r="E1005" s="125">
        <v>25</v>
      </c>
      <c r="F1005" s="260" t="s">
        <v>3003</v>
      </c>
      <c r="G1005" s="234"/>
      <c r="H1005" s="202">
        <v>4.7329999999999997</v>
      </c>
    </row>
    <row r="1006" spans="2:8" x14ac:dyDescent="0.25">
      <c r="B1006" s="97" t="s">
        <v>3169</v>
      </c>
      <c r="C1006" s="97" t="s">
        <v>3451</v>
      </c>
      <c r="D1006" s="97">
        <v>530</v>
      </c>
      <c r="E1006" s="97">
        <v>25</v>
      </c>
      <c r="F1006" s="287" t="s">
        <v>234</v>
      </c>
      <c r="G1006" s="287" t="s">
        <v>3532</v>
      </c>
      <c r="H1006" s="129">
        <v>3.5449999999999999</v>
      </c>
    </row>
    <row r="1007" spans="2:8" x14ac:dyDescent="0.25">
      <c r="B1007" s="97" t="s">
        <v>3169</v>
      </c>
      <c r="C1007" s="97" t="s">
        <v>3514</v>
      </c>
      <c r="D1007" s="97">
        <v>530</v>
      </c>
      <c r="E1007" s="97">
        <v>25</v>
      </c>
      <c r="F1007" s="287" t="s">
        <v>3478</v>
      </c>
      <c r="G1007" s="287" t="s">
        <v>3533</v>
      </c>
      <c r="H1007" s="129">
        <v>3.49</v>
      </c>
    </row>
    <row r="1008" spans="2:8" x14ac:dyDescent="0.25">
      <c r="B1008" s="97" t="s">
        <v>3169</v>
      </c>
      <c r="C1008" s="97" t="s">
        <v>315</v>
      </c>
      <c r="D1008" s="97">
        <v>530</v>
      </c>
      <c r="E1008" s="97">
        <v>26</v>
      </c>
      <c r="F1008" s="287" t="s">
        <v>234</v>
      </c>
      <c r="G1008" s="287" t="s">
        <v>3534</v>
      </c>
      <c r="H1008" s="129">
        <v>1.3149999999999999</v>
      </c>
    </row>
    <row r="1009" spans="2:8" x14ac:dyDescent="0.25">
      <c r="B1009" s="97" t="s">
        <v>3169</v>
      </c>
      <c r="C1009" s="97" t="s">
        <v>315</v>
      </c>
      <c r="D1009" s="97">
        <v>530</v>
      </c>
      <c r="E1009" s="97">
        <v>26</v>
      </c>
      <c r="F1009" s="287" t="s">
        <v>234</v>
      </c>
      <c r="G1009" s="287" t="s">
        <v>3535</v>
      </c>
      <c r="H1009" s="129">
        <v>0.75</v>
      </c>
    </row>
    <row r="1010" spans="2:8" x14ac:dyDescent="0.25">
      <c r="B1010" s="234" t="s">
        <v>3169</v>
      </c>
      <c r="C1010" s="55" t="s">
        <v>2983</v>
      </c>
      <c r="D1010" s="263">
        <v>530</v>
      </c>
      <c r="E1010" s="263">
        <v>28</v>
      </c>
      <c r="F1010" s="260" t="s">
        <v>3003</v>
      </c>
      <c r="G1010" s="234"/>
      <c r="H1010" s="202">
        <f>9.181-2.799</f>
        <v>6.3819999999999997</v>
      </c>
    </row>
    <row r="1011" spans="2:8" x14ac:dyDescent="0.25">
      <c r="B1011" s="97" t="s">
        <v>3169</v>
      </c>
      <c r="C1011" s="97" t="s">
        <v>3514</v>
      </c>
      <c r="D1011" s="97">
        <v>530</v>
      </c>
      <c r="E1011" s="97">
        <v>28</v>
      </c>
      <c r="F1011" s="287" t="s">
        <v>3478</v>
      </c>
      <c r="G1011" s="287" t="s">
        <v>3536</v>
      </c>
      <c r="H1011" s="129">
        <v>28.87</v>
      </c>
    </row>
    <row r="1012" spans="2:8" x14ac:dyDescent="0.25">
      <c r="B1012" s="112" t="s">
        <v>2908</v>
      </c>
      <c r="C1012" s="269" t="s">
        <v>2947</v>
      </c>
      <c r="D1012" s="125">
        <v>530</v>
      </c>
      <c r="E1012" s="125">
        <v>32</v>
      </c>
      <c r="F1012" s="260" t="s">
        <v>150</v>
      </c>
      <c r="G1012" s="234"/>
      <c r="H1012" s="202">
        <v>0.30199999999999999</v>
      </c>
    </row>
    <row r="1013" spans="2:8" x14ac:dyDescent="0.25">
      <c r="B1013" s="112" t="s">
        <v>2908</v>
      </c>
      <c r="C1013" s="97" t="s">
        <v>210</v>
      </c>
      <c r="D1013" s="97">
        <v>530</v>
      </c>
      <c r="E1013" s="97">
        <v>50</v>
      </c>
      <c r="F1013" s="287" t="s">
        <v>2785</v>
      </c>
      <c r="G1013" s="287" t="s">
        <v>3407</v>
      </c>
      <c r="H1013" s="129">
        <v>28.61</v>
      </c>
    </row>
    <row r="1014" spans="2:8" x14ac:dyDescent="0.25">
      <c r="B1014" s="97" t="s">
        <v>3169</v>
      </c>
      <c r="C1014" s="97" t="s">
        <v>3537</v>
      </c>
      <c r="D1014" s="97">
        <v>530</v>
      </c>
      <c r="E1014" s="97">
        <v>68</v>
      </c>
      <c r="F1014" s="287" t="s">
        <v>3478</v>
      </c>
      <c r="G1014" s="287" t="s">
        <v>3538</v>
      </c>
      <c r="H1014" s="129">
        <v>7.4550000000000001</v>
      </c>
    </row>
    <row r="1015" spans="2:8" x14ac:dyDescent="0.25">
      <c r="B1015" s="112" t="s">
        <v>2908</v>
      </c>
      <c r="C1015" s="269" t="s">
        <v>2981</v>
      </c>
      <c r="D1015" s="125">
        <v>530</v>
      </c>
      <c r="E1015" s="125">
        <v>75</v>
      </c>
      <c r="F1015" s="260" t="s">
        <v>150</v>
      </c>
      <c r="G1015" s="234"/>
      <c r="H1015" s="202">
        <f>5.04-0.57</f>
        <v>4.47</v>
      </c>
    </row>
    <row r="1016" spans="2:8" x14ac:dyDescent="0.25">
      <c r="B1016" s="112" t="s">
        <v>2908</v>
      </c>
      <c r="C1016" s="269" t="s">
        <v>2981</v>
      </c>
      <c r="D1016" s="125">
        <v>530</v>
      </c>
      <c r="E1016" s="125">
        <v>75</v>
      </c>
      <c r="F1016" s="260" t="s">
        <v>150</v>
      </c>
      <c r="G1016" s="234"/>
      <c r="H1016" s="202">
        <f>6.024-1.02</f>
        <v>5.0039999999999996</v>
      </c>
    </row>
    <row r="1017" spans="2:8" x14ac:dyDescent="0.25">
      <c r="B1017" s="97" t="s">
        <v>3169</v>
      </c>
      <c r="C1017" s="97" t="s">
        <v>3539</v>
      </c>
      <c r="D1017" s="97">
        <v>530</v>
      </c>
      <c r="E1017" s="97">
        <v>95</v>
      </c>
      <c r="F1017" s="287" t="s">
        <v>234</v>
      </c>
      <c r="G1017" s="287" t="s">
        <v>3534</v>
      </c>
      <c r="H1017" s="129">
        <v>4.1449999999999996</v>
      </c>
    </row>
    <row r="1018" spans="2:8" x14ac:dyDescent="0.25">
      <c r="B1018" s="234" t="s">
        <v>202</v>
      </c>
      <c r="C1018" s="112" t="s">
        <v>250</v>
      </c>
      <c r="D1018" s="237">
        <v>530</v>
      </c>
      <c r="E1018" s="236" t="s">
        <v>242</v>
      </c>
      <c r="F1018" s="77" t="s">
        <v>224</v>
      </c>
      <c r="G1018" s="235">
        <v>10.85</v>
      </c>
      <c r="H1018" s="273">
        <v>1.38</v>
      </c>
    </row>
    <row r="1019" spans="2:8" x14ac:dyDescent="0.25">
      <c r="B1019" s="234" t="s">
        <v>202</v>
      </c>
      <c r="C1019" s="112"/>
      <c r="D1019" s="237">
        <v>530</v>
      </c>
      <c r="E1019" s="236" t="s">
        <v>242</v>
      </c>
      <c r="F1019" s="77" t="s">
        <v>251</v>
      </c>
      <c r="G1019" s="235"/>
      <c r="H1019" s="273">
        <v>2.97</v>
      </c>
    </row>
    <row r="1020" spans="2:8" x14ac:dyDescent="0.25">
      <c r="B1020" s="234" t="s">
        <v>202</v>
      </c>
      <c r="C1020" s="235" t="s">
        <v>222</v>
      </c>
      <c r="D1020" s="237">
        <v>530</v>
      </c>
      <c r="E1020" s="236" t="s">
        <v>243</v>
      </c>
      <c r="F1020" s="235" t="s">
        <v>252</v>
      </c>
      <c r="G1020" s="235" t="s">
        <v>47</v>
      </c>
      <c r="H1020" s="273">
        <v>6.37</v>
      </c>
    </row>
    <row r="1021" spans="2:8" x14ac:dyDescent="0.25">
      <c r="B1021" s="234" t="s">
        <v>202</v>
      </c>
      <c r="C1021" s="235" t="s">
        <v>222</v>
      </c>
      <c r="D1021" s="237">
        <v>530</v>
      </c>
      <c r="E1021" s="236" t="s">
        <v>243</v>
      </c>
      <c r="F1021" s="235" t="s">
        <v>253</v>
      </c>
      <c r="G1021" s="235"/>
      <c r="H1021" s="273">
        <v>1.63</v>
      </c>
    </row>
    <row r="1022" spans="2:8" x14ac:dyDescent="0.25">
      <c r="B1022" s="234" t="s">
        <v>202</v>
      </c>
      <c r="C1022" s="235" t="s">
        <v>222</v>
      </c>
      <c r="D1022" s="237">
        <v>530</v>
      </c>
      <c r="E1022" s="236" t="s">
        <v>243</v>
      </c>
      <c r="F1022" s="235" t="s">
        <v>254</v>
      </c>
      <c r="G1022" s="235"/>
      <c r="H1022" s="273">
        <v>1.4</v>
      </c>
    </row>
    <row r="1023" spans="2:8" x14ac:dyDescent="0.25">
      <c r="B1023" s="234" t="s">
        <v>202</v>
      </c>
      <c r="C1023" s="235" t="s">
        <v>222</v>
      </c>
      <c r="D1023" s="237">
        <v>530</v>
      </c>
      <c r="E1023" s="24" t="s">
        <v>180</v>
      </c>
      <c r="F1023" s="77" t="s">
        <v>257</v>
      </c>
      <c r="G1023" s="235"/>
      <c r="H1023" s="273">
        <v>1.48</v>
      </c>
    </row>
    <row r="1024" spans="2:8" x14ac:dyDescent="0.25">
      <c r="B1024" s="234" t="s">
        <v>202</v>
      </c>
      <c r="C1024" s="112">
        <v>20</v>
      </c>
      <c r="D1024" s="51">
        <v>530</v>
      </c>
      <c r="E1024" s="63" t="s">
        <v>239</v>
      </c>
      <c r="F1024" s="4" t="s">
        <v>225</v>
      </c>
      <c r="G1024" s="77" t="s">
        <v>200</v>
      </c>
      <c r="H1024" s="272">
        <v>2.27</v>
      </c>
    </row>
    <row r="1025" spans="2:8" x14ac:dyDescent="0.25">
      <c r="B1025" s="234" t="s">
        <v>202</v>
      </c>
      <c r="C1025" s="77" t="s">
        <v>203</v>
      </c>
      <c r="D1025" s="237">
        <v>530</v>
      </c>
      <c r="E1025" s="24" t="s">
        <v>239</v>
      </c>
      <c r="F1025" s="112" t="s">
        <v>2783</v>
      </c>
      <c r="G1025" s="4">
        <v>8.35</v>
      </c>
      <c r="H1025" s="275">
        <v>0.86</v>
      </c>
    </row>
    <row r="1026" spans="2:8" x14ac:dyDescent="0.25">
      <c r="B1026" s="234" t="s">
        <v>202</v>
      </c>
      <c r="C1026" s="235" t="s">
        <v>222</v>
      </c>
      <c r="D1026" s="237">
        <v>530</v>
      </c>
      <c r="E1026" s="24" t="s">
        <v>239</v>
      </c>
      <c r="F1026" s="77" t="s">
        <v>257</v>
      </c>
      <c r="G1026" s="77"/>
      <c r="H1026" s="272">
        <v>3.52</v>
      </c>
    </row>
    <row r="1027" spans="2:8" x14ac:dyDescent="0.25">
      <c r="B1027" s="112" t="s">
        <v>2908</v>
      </c>
      <c r="C1027" s="97" t="s">
        <v>210</v>
      </c>
      <c r="D1027" s="97">
        <v>550</v>
      </c>
      <c r="E1027" s="97">
        <v>24</v>
      </c>
      <c r="F1027" s="287" t="s">
        <v>2785</v>
      </c>
      <c r="G1027" s="287" t="s">
        <v>3408</v>
      </c>
      <c r="H1027" s="129">
        <v>2.17</v>
      </c>
    </row>
    <row r="1028" spans="2:8" x14ac:dyDescent="0.25">
      <c r="B1028" s="234" t="s">
        <v>3169</v>
      </c>
      <c r="C1028" s="55" t="s">
        <v>2928</v>
      </c>
      <c r="D1028" s="125">
        <v>550</v>
      </c>
      <c r="E1028" s="125">
        <v>25</v>
      </c>
      <c r="F1028" s="260" t="s">
        <v>3007</v>
      </c>
      <c r="G1028" s="234"/>
      <c r="H1028" s="202">
        <v>4.7300000000000004</v>
      </c>
    </row>
    <row r="1029" spans="2:8" x14ac:dyDescent="0.25">
      <c r="B1029" s="234" t="s">
        <v>3169</v>
      </c>
      <c r="C1029" s="55" t="s">
        <v>2988</v>
      </c>
      <c r="D1029" s="125">
        <v>550</v>
      </c>
      <c r="E1029" s="125">
        <v>28</v>
      </c>
      <c r="F1029" s="260" t="s">
        <v>3003</v>
      </c>
      <c r="G1029" s="234"/>
      <c r="H1029" s="202">
        <v>0</v>
      </c>
    </row>
    <row r="1030" spans="2:8" x14ac:dyDescent="0.25">
      <c r="B1030" s="234" t="s">
        <v>3169</v>
      </c>
      <c r="C1030" s="55" t="s">
        <v>406</v>
      </c>
      <c r="D1030" s="125">
        <v>550</v>
      </c>
      <c r="E1030" s="125">
        <v>40</v>
      </c>
      <c r="F1030" s="265" t="s">
        <v>3018</v>
      </c>
      <c r="G1030" s="234"/>
      <c r="H1030" s="202">
        <v>0.14599999999999999</v>
      </c>
    </row>
    <row r="1031" spans="2:8" x14ac:dyDescent="0.25">
      <c r="B1031" s="97" t="s">
        <v>3169</v>
      </c>
      <c r="C1031" s="97" t="s">
        <v>3540</v>
      </c>
      <c r="D1031" s="97">
        <v>550</v>
      </c>
      <c r="E1031" s="97">
        <v>70</v>
      </c>
      <c r="F1031" s="287" t="s">
        <v>3478</v>
      </c>
      <c r="G1031" s="287" t="s">
        <v>3541</v>
      </c>
      <c r="H1031" s="129">
        <v>9.7750000000000004</v>
      </c>
    </row>
    <row r="1032" spans="2:8" x14ac:dyDescent="0.2">
      <c r="B1032" s="134" t="s">
        <v>3093</v>
      </c>
      <c r="C1032" s="134" t="s">
        <v>249</v>
      </c>
      <c r="D1032" s="134">
        <v>609</v>
      </c>
      <c r="E1032" s="134">
        <v>6.35</v>
      </c>
      <c r="F1032" s="22"/>
      <c r="G1032" s="22" t="s">
        <v>3145</v>
      </c>
      <c r="H1032" s="181">
        <v>9.5000000000000001E-2</v>
      </c>
    </row>
    <row r="1033" spans="2:8" x14ac:dyDescent="0.2">
      <c r="B1033" s="134" t="s">
        <v>3093</v>
      </c>
      <c r="C1033" s="134" t="s">
        <v>249</v>
      </c>
      <c r="D1033" s="134">
        <v>609.6</v>
      </c>
      <c r="E1033" s="134">
        <v>14.27</v>
      </c>
      <c r="F1033" s="22"/>
      <c r="G1033" s="22" t="s">
        <v>3144</v>
      </c>
      <c r="H1033" s="181">
        <v>1.5049999999999999</v>
      </c>
    </row>
    <row r="1034" spans="2:8" x14ac:dyDescent="0.25">
      <c r="B1034" s="112" t="s">
        <v>2908</v>
      </c>
      <c r="C1034" s="97" t="s">
        <v>3409</v>
      </c>
      <c r="D1034" s="97">
        <v>610</v>
      </c>
      <c r="E1034" s="97">
        <v>17.48</v>
      </c>
      <c r="F1034" s="287" t="s">
        <v>3410</v>
      </c>
      <c r="G1034" s="287" t="s">
        <v>3411</v>
      </c>
      <c r="H1034" s="129">
        <v>16.62</v>
      </c>
    </row>
    <row r="1035" spans="2:8" x14ac:dyDescent="0.25">
      <c r="B1035" s="234" t="s">
        <v>3169</v>
      </c>
      <c r="C1035" s="55" t="s">
        <v>2988</v>
      </c>
      <c r="D1035" s="125">
        <v>610</v>
      </c>
      <c r="E1035" s="125">
        <v>28</v>
      </c>
      <c r="F1035" s="260" t="s">
        <v>3003</v>
      </c>
      <c r="G1035" s="234"/>
      <c r="H1035" s="202">
        <v>0</v>
      </c>
    </row>
    <row r="1036" spans="2:8" x14ac:dyDescent="0.25">
      <c r="B1036" s="112" t="s">
        <v>2908</v>
      </c>
      <c r="C1036" s="55">
        <v>20</v>
      </c>
      <c r="D1036" s="125">
        <v>610</v>
      </c>
      <c r="E1036" s="125">
        <v>30</v>
      </c>
      <c r="F1036" s="260" t="s">
        <v>150</v>
      </c>
      <c r="G1036" s="234"/>
      <c r="H1036" s="202">
        <v>0.14000000000000001</v>
      </c>
    </row>
    <row r="1037" spans="2:8" x14ac:dyDescent="0.25">
      <c r="B1037" s="112" t="s">
        <v>2908</v>
      </c>
      <c r="C1037" s="55" t="s">
        <v>2946</v>
      </c>
      <c r="D1037" s="125">
        <v>610</v>
      </c>
      <c r="E1037" s="125">
        <v>40</v>
      </c>
      <c r="F1037" s="260" t="s">
        <v>150</v>
      </c>
      <c r="G1037" s="234"/>
      <c r="H1037" s="202">
        <f>12.205-3.124-3.112-3.05</f>
        <v>2.9189999999999996</v>
      </c>
    </row>
    <row r="1038" spans="2:8" x14ac:dyDescent="0.25">
      <c r="B1038" s="112" t="s">
        <v>2908</v>
      </c>
      <c r="C1038" s="55" t="s">
        <v>2946</v>
      </c>
      <c r="D1038" s="125">
        <v>610</v>
      </c>
      <c r="E1038" s="125">
        <v>40</v>
      </c>
      <c r="F1038" s="260" t="s">
        <v>150</v>
      </c>
      <c r="G1038" s="234"/>
      <c r="H1038" s="202">
        <v>5.5880000000000001</v>
      </c>
    </row>
    <row r="1039" spans="2:8" x14ac:dyDescent="0.25">
      <c r="B1039" s="112" t="s">
        <v>2908</v>
      </c>
      <c r="C1039" s="55" t="s">
        <v>2946</v>
      </c>
      <c r="D1039" s="125">
        <v>610</v>
      </c>
      <c r="E1039" s="125">
        <v>50</v>
      </c>
      <c r="F1039" s="260" t="s">
        <v>150</v>
      </c>
      <c r="G1039" s="234"/>
      <c r="H1039" s="202">
        <v>4.6820000000000004</v>
      </c>
    </row>
    <row r="1040" spans="2:8" x14ac:dyDescent="0.25">
      <c r="B1040" s="187" t="s">
        <v>202</v>
      </c>
      <c r="C1040" s="112" t="s">
        <v>2815</v>
      </c>
      <c r="D1040" s="112">
        <v>630</v>
      </c>
      <c r="E1040" s="112">
        <v>8</v>
      </c>
      <c r="F1040" s="187" t="s">
        <v>257</v>
      </c>
      <c r="G1040" s="234"/>
      <c r="H1040" s="277">
        <v>43.77</v>
      </c>
    </row>
    <row r="1041" spans="2:8" x14ac:dyDescent="0.25">
      <c r="B1041" s="187" t="s">
        <v>202</v>
      </c>
      <c r="C1041" s="112">
        <v>20</v>
      </c>
      <c r="D1041" s="112">
        <v>630</v>
      </c>
      <c r="E1041" s="112">
        <v>8</v>
      </c>
      <c r="F1041" s="187" t="s">
        <v>2794</v>
      </c>
      <c r="G1041" s="70">
        <v>12</v>
      </c>
      <c r="H1041" s="277">
        <v>1.472</v>
      </c>
    </row>
    <row r="1042" spans="2:8" x14ac:dyDescent="0.25">
      <c r="B1042" s="112" t="s">
        <v>202</v>
      </c>
      <c r="C1042" s="281" t="s">
        <v>3040</v>
      </c>
      <c r="D1042" s="286">
        <v>630</v>
      </c>
      <c r="E1042" s="281">
        <v>9</v>
      </c>
      <c r="F1042" s="6" t="s">
        <v>3039</v>
      </c>
      <c r="G1042" s="112" t="s">
        <v>3038</v>
      </c>
      <c r="H1042" s="182">
        <v>20.018000000000001</v>
      </c>
    </row>
    <row r="1043" spans="2:8" x14ac:dyDescent="0.25">
      <c r="B1043" s="187" t="s">
        <v>202</v>
      </c>
      <c r="C1043" s="112">
        <v>20</v>
      </c>
      <c r="D1043" s="112">
        <v>630</v>
      </c>
      <c r="E1043" s="112">
        <v>10</v>
      </c>
      <c r="F1043" s="187" t="s">
        <v>2794</v>
      </c>
      <c r="G1043" s="234">
        <v>11.63</v>
      </c>
      <c r="H1043" s="277">
        <f>1.777+4.66</f>
        <v>6.4370000000000003</v>
      </c>
    </row>
    <row r="1044" spans="2:8" x14ac:dyDescent="0.2">
      <c r="B1044" s="134" t="s">
        <v>202</v>
      </c>
      <c r="C1044" s="134" t="s">
        <v>3083</v>
      </c>
      <c r="D1044" s="134">
        <v>630</v>
      </c>
      <c r="E1044" s="134">
        <v>10</v>
      </c>
      <c r="F1044" s="22" t="s">
        <v>3091</v>
      </c>
      <c r="G1044" s="22" t="s">
        <v>3092</v>
      </c>
      <c r="H1044" s="181">
        <v>5.57</v>
      </c>
    </row>
    <row r="1045" spans="2:8" x14ac:dyDescent="0.25">
      <c r="B1045" s="112" t="s">
        <v>202</v>
      </c>
      <c r="C1045" s="285" t="s">
        <v>3021</v>
      </c>
      <c r="D1045" s="286">
        <v>630</v>
      </c>
      <c r="E1045" s="281">
        <v>12</v>
      </c>
      <c r="F1045" s="6" t="s">
        <v>2949</v>
      </c>
      <c r="G1045" s="112" t="s">
        <v>3037</v>
      </c>
      <c r="H1045" s="182">
        <f>23.825-2.11-0.462</f>
        <v>21.253</v>
      </c>
    </row>
    <row r="1046" spans="2:8" x14ac:dyDescent="0.25">
      <c r="B1046" s="112" t="s">
        <v>202</v>
      </c>
      <c r="C1046" s="281" t="s">
        <v>3034</v>
      </c>
      <c r="D1046" s="286">
        <v>630</v>
      </c>
      <c r="E1046" s="281">
        <v>13</v>
      </c>
      <c r="F1046" s="6" t="s">
        <v>257</v>
      </c>
      <c r="G1046" s="112" t="s">
        <v>3036</v>
      </c>
      <c r="H1046" s="182">
        <v>19.227</v>
      </c>
    </row>
    <row r="1047" spans="2:8" x14ac:dyDescent="0.25">
      <c r="B1047" s="112" t="s">
        <v>202</v>
      </c>
      <c r="C1047" s="281" t="s">
        <v>884</v>
      </c>
      <c r="D1047" s="286">
        <v>630</v>
      </c>
      <c r="E1047" s="281">
        <v>16</v>
      </c>
      <c r="F1047" s="6" t="s">
        <v>224</v>
      </c>
      <c r="G1047" s="112" t="s">
        <v>3035</v>
      </c>
      <c r="H1047" s="182">
        <f>17.031-2.731-2.809</f>
        <v>11.491</v>
      </c>
    </row>
    <row r="1048" spans="2:8" x14ac:dyDescent="0.25">
      <c r="B1048" s="187" t="s">
        <v>202</v>
      </c>
      <c r="C1048" s="112" t="s">
        <v>2871</v>
      </c>
      <c r="D1048" s="112">
        <v>630</v>
      </c>
      <c r="E1048" s="112">
        <v>18</v>
      </c>
      <c r="F1048" s="187" t="s">
        <v>257</v>
      </c>
      <c r="G1048" s="234"/>
      <c r="H1048" s="277">
        <v>3.1989999999999998</v>
      </c>
    </row>
    <row r="1049" spans="2:8" x14ac:dyDescent="0.25">
      <c r="B1049" s="234" t="s">
        <v>3169</v>
      </c>
      <c r="C1049" s="55" t="s">
        <v>2995</v>
      </c>
      <c r="D1049" s="263">
        <v>630</v>
      </c>
      <c r="E1049" s="263">
        <v>28</v>
      </c>
      <c r="F1049" s="260" t="s">
        <v>2996</v>
      </c>
      <c r="G1049" s="234"/>
      <c r="H1049" s="202">
        <v>3.4</v>
      </c>
    </row>
    <row r="1050" spans="2:8" x14ac:dyDescent="0.25">
      <c r="B1050" s="234" t="s">
        <v>3169</v>
      </c>
      <c r="C1050" s="55" t="s">
        <v>2995</v>
      </c>
      <c r="D1050" s="263">
        <v>630</v>
      </c>
      <c r="E1050" s="263">
        <v>28</v>
      </c>
      <c r="F1050" s="260" t="s">
        <v>2996</v>
      </c>
      <c r="G1050" s="234"/>
      <c r="H1050" s="202">
        <v>1.62</v>
      </c>
    </row>
    <row r="1051" spans="2:8" x14ac:dyDescent="0.25">
      <c r="B1051" s="234" t="s">
        <v>3169</v>
      </c>
      <c r="C1051" s="55" t="s">
        <v>2997</v>
      </c>
      <c r="D1051" s="263">
        <v>630</v>
      </c>
      <c r="E1051" s="263">
        <v>28</v>
      </c>
      <c r="F1051" s="260" t="s">
        <v>3010</v>
      </c>
      <c r="G1051" s="234"/>
      <c r="H1051" s="202">
        <v>17.739999999999998</v>
      </c>
    </row>
    <row r="1052" spans="2:8" x14ac:dyDescent="0.25">
      <c r="B1052" s="97" t="s">
        <v>3169</v>
      </c>
      <c r="C1052" s="97" t="s">
        <v>315</v>
      </c>
      <c r="D1052" s="97">
        <v>630</v>
      </c>
      <c r="E1052" s="97">
        <v>28</v>
      </c>
      <c r="F1052" s="287" t="s">
        <v>234</v>
      </c>
      <c r="G1052" s="287" t="s">
        <v>3542</v>
      </c>
      <c r="H1052" s="129">
        <v>4.9950000000000001</v>
      </c>
    </row>
    <row r="1053" spans="2:8" x14ac:dyDescent="0.25">
      <c r="B1053" s="97" t="s">
        <v>3169</v>
      </c>
      <c r="C1053" s="97" t="s">
        <v>3540</v>
      </c>
      <c r="D1053" s="97">
        <v>630</v>
      </c>
      <c r="E1053" s="97">
        <v>28</v>
      </c>
      <c r="F1053" s="287" t="s">
        <v>3478</v>
      </c>
      <c r="G1053" s="287" t="s">
        <v>3543</v>
      </c>
      <c r="H1053" s="129">
        <v>1.22</v>
      </c>
    </row>
    <row r="1054" spans="2:8" x14ac:dyDescent="0.25">
      <c r="B1054" s="234" t="s">
        <v>3169</v>
      </c>
      <c r="C1054" s="55" t="s">
        <v>2998</v>
      </c>
      <c r="D1054" s="263">
        <v>630</v>
      </c>
      <c r="E1054" s="263">
        <v>50</v>
      </c>
      <c r="F1054" s="260"/>
      <c r="G1054" s="234"/>
      <c r="H1054" s="202">
        <v>0.68500000000000005</v>
      </c>
    </row>
    <row r="1055" spans="2:8" x14ac:dyDescent="0.2">
      <c r="B1055" s="134" t="s">
        <v>3093</v>
      </c>
      <c r="C1055" s="134" t="s">
        <v>281</v>
      </c>
      <c r="D1055" s="134">
        <v>640</v>
      </c>
      <c r="E1055" s="134">
        <v>6</v>
      </c>
      <c r="F1055" s="22" t="s">
        <v>3094</v>
      </c>
      <c r="G1055" s="22" t="s">
        <v>3095</v>
      </c>
      <c r="H1055" s="181">
        <v>0.14199999999999999</v>
      </c>
    </row>
    <row r="1056" spans="2:8" x14ac:dyDescent="0.25">
      <c r="B1056" s="234" t="s">
        <v>3169</v>
      </c>
      <c r="C1056" s="55" t="s">
        <v>2999</v>
      </c>
      <c r="D1056" s="263">
        <v>700</v>
      </c>
      <c r="E1056" s="263">
        <v>40</v>
      </c>
      <c r="F1056" s="260"/>
      <c r="G1056" s="234"/>
      <c r="H1056" s="202">
        <v>1.64</v>
      </c>
    </row>
    <row r="1057" spans="2:8" x14ac:dyDescent="0.2">
      <c r="B1057" s="204" t="s">
        <v>202</v>
      </c>
      <c r="C1057" s="234" t="s">
        <v>250</v>
      </c>
      <c r="D1057" s="234">
        <v>720</v>
      </c>
      <c r="E1057" s="106">
        <v>8</v>
      </c>
      <c r="F1057" s="200" t="s">
        <v>2794</v>
      </c>
      <c r="G1057" s="200" t="s">
        <v>2865</v>
      </c>
      <c r="H1057" s="199">
        <v>3.371</v>
      </c>
    </row>
    <row r="1058" spans="2:8" x14ac:dyDescent="0.25">
      <c r="B1058" s="234" t="s">
        <v>2902</v>
      </c>
      <c r="C1058" s="234"/>
      <c r="D1058" s="234">
        <v>720</v>
      </c>
      <c r="E1058" s="234">
        <v>8</v>
      </c>
      <c r="F1058" s="244"/>
      <c r="G1058" s="234"/>
      <c r="H1058" s="274">
        <v>50</v>
      </c>
    </row>
    <row r="1059" spans="2:8" x14ac:dyDescent="0.25">
      <c r="B1059" s="97" t="s">
        <v>202</v>
      </c>
      <c r="C1059" s="97"/>
      <c r="D1059" s="97">
        <v>720</v>
      </c>
      <c r="E1059" s="97">
        <v>8</v>
      </c>
      <c r="F1059" s="97" t="s">
        <v>224</v>
      </c>
      <c r="G1059" s="97"/>
      <c r="H1059" s="278">
        <v>3.32</v>
      </c>
    </row>
    <row r="1060" spans="2:8" x14ac:dyDescent="0.2">
      <c r="B1060" s="134" t="s">
        <v>202</v>
      </c>
      <c r="C1060" s="134" t="s">
        <v>3083</v>
      </c>
      <c r="D1060" s="134">
        <v>720</v>
      </c>
      <c r="E1060" s="134">
        <v>8</v>
      </c>
      <c r="F1060" s="22" t="s">
        <v>224</v>
      </c>
      <c r="G1060" s="22" t="s">
        <v>3096</v>
      </c>
      <c r="H1060" s="181">
        <v>5.12</v>
      </c>
    </row>
    <row r="1061" spans="2:8" x14ac:dyDescent="0.25">
      <c r="B1061" s="187" t="s">
        <v>202</v>
      </c>
      <c r="C1061" s="187"/>
      <c r="D1061" s="187">
        <v>720</v>
      </c>
      <c r="E1061" s="187">
        <v>10</v>
      </c>
      <c r="F1061" s="112" t="s">
        <v>224</v>
      </c>
      <c r="G1061" s="234"/>
      <c r="H1061" s="277">
        <v>2.0569999999999999</v>
      </c>
    </row>
    <row r="1062" spans="2:8" x14ac:dyDescent="0.25">
      <c r="B1062" s="97" t="s">
        <v>202</v>
      </c>
      <c r="C1062" s="97" t="s">
        <v>210</v>
      </c>
      <c r="D1062" s="97">
        <v>720</v>
      </c>
      <c r="E1062" s="97">
        <v>10</v>
      </c>
      <c r="F1062" s="97" t="s">
        <v>2919</v>
      </c>
      <c r="G1062" s="97"/>
      <c r="H1062" s="278">
        <v>4.4800000000000004</v>
      </c>
    </row>
    <row r="1063" spans="2:8" x14ac:dyDescent="0.25">
      <c r="B1063" s="97" t="s">
        <v>202</v>
      </c>
      <c r="C1063" s="97"/>
      <c r="D1063" s="97">
        <v>720</v>
      </c>
      <c r="E1063" s="97">
        <v>11</v>
      </c>
      <c r="F1063" s="97"/>
      <c r="G1063" s="97"/>
      <c r="H1063" s="278">
        <v>2.2599999999999998</v>
      </c>
    </row>
    <row r="1064" spans="2:8" x14ac:dyDescent="0.2">
      <c r="B1064" s="134" t="s">
        <v>202</v>
      </c>
      <c r="C1064" s="134" t="s">
        <v>3021</v>
      </c>
      <c r="D1064" s="134">
        <v>720</v>
      </c>
      <c r="E1064" s="134">
        <v>11</v>
      </c>
      <c r="F1064" s="22" t="s">
        <v>2949</v>
      </c>
      <c r="G1064" s="22" t="s">
        <v>3097</v>
      </c>
      <c r="H1064" s="181">
        <v>20.9</v>
      </c>
    </row>
    <row r="1065" spans="2:8" x14ac:dyDescent="0.25">
      <c r="B1065" s="97" t="s">
        <v>202</v>
      </c>
      <c r="C1065" s="97" t="s">
        <v>223</v>
      </c>
      <c r="D1065" s="97">
        <v>720</v>
      </c>
      <c r="E1065" s="97">
        <v>15</v>
      </c>
      <c r="F1065" s="97" t="s">
        <v>2920</v>
      </c>
      <c r="G1065" s="97"/>
      <c r="H1065" s="278">
        <v>9.35</v>
      </c>
    </row>
    <row r="1066" spans="2:8" x14ac:dyDescent="0.25">
      <c r="B1066" s="112" t="s">
        <v>202</v>
      </c>
      <c r="C1066" s="112" t="s">
        <v>203</v>
      </c>
      <c r="D1066" s="200">
        <v>720</v>
      </c>
      <c r="E1066" s="112">
        <v>17</v>
      </c>
      <c r="F1066" s="6" t="s">
        <v>257</v>
      </c>
      <c r="G1066" s="112">
        <v>11.04</v>
      </c>
      <c r="H1066" s="271">
        <v>3.286</v>
      </c>
    </row>
    <row r="1067" spans="2:8" x14ac:dyDescent="0.25">
      <c r="B1067" s="112" t="s">
        <v>202</v>
      </c>
      <c r="C1067" s="285" t="s">
        <v>3021</v>
      </c>
      <c r="D1067" s="200">
        <v>720</v>
      </c>
      <c r="E1067" s="112">
        <v>18</v>
      </c>
      <c r="F1067" s="6" t="s">
        <v>2949</v>
      </c>
      <c r="G1067" s="112" t="s">
        <v>3032</v>
      </c>
      <c r="H1067" s="271">
        <f>14.38-3.494</f>
        <v>10.886000000000001</v>
      </c>
    </row>
    <row r="1068" spans="2:8" x14ac:dyDescent="0.2">
      <c r="B1068" s="134" t="s">
        <v>202</v>
      </c>
      <c r="C1068" s="134" t="s">
        <v>3021</v>
      </c>
      <c r="D1068" s="134">
        <v>720</v>
      </c>
      <c r="E1068" s="134">
        <v>19.3</v>
      </c>
      <c r="F1068" s="22" t="s">
        <v>3098</v>
      </c>
      <c r="G1068" s="22" t="s">
        <v>3099</v>
      </c>
      <c r="H1068" s="181">
        <v>7.79</v>
      </c>
    </row>
    <row r="1069" spans="2:8" x14ac:dyDescent="0.25">
      <c r="B1069" s="112" t="s">
        <v>202</v>
      </c>
      <c r="C1069" s="285" t="s">
        <v>3021</v>
      </c>
      <c r="D1069" s="200">
        <v>720</v>
      </c>
      <c r="E1069" s="112">
        <v>20</v>
      </c>
      <c r="F1069" s="6" t="s">
        <v>3033</v>
      </c>
      <c r="G1069" s="112">
        <v>11.97</v>
      </c>
      <c r="H1069" s="271">
        <f>6.699-2.525</f>
        <v>4.1739999999999995</v>
      </c>
    </row>
    <row r="1070" spans="2:8" x14ac:dyDescent="0.25">
      <c r="B1070" s="97" t="s">
        <v>3169</v>
      </c>
      <c r="C1070" s="97" t="s">
        <v>3514</v>
      </c>
      <c r="D1070" s="97">
        <v>720</v>
      </c>
      <c r="E1070" s="97">
        <v>22</v>
      </c>
      <c r="F1070" s="287" t="s">
        <v>3478</v>
      </c>
      <c r="G1070" s="287" t="s">
        <v>3544</v>
      </c>
      <c r="H1070" s="129">
        <v>1.26</v>
      </c>
    </row>
    <row r="1071" spans="2:8" x14ac:dyDescent="0.25">
      <c r="B1071" s="234" t="s">
        <v>2902</v>
      </c>
      <c r="C1071" s="234"/>
      <c r="D1071" s="234">
        <v>720</v>
      </c>
      <c r="E1071" s="65" t="s">
        <v>2905</v>
      </c>
      <c r="F1071" s="244"/>
      <c r="G1071" s="234"/>
      <c r="H1071" s="274">
        <v>50</v>
      </c>
    </row>
    <row r="1072" spans="2:8" x14ac:dyDescent="0.25">
      <c r="B1072" s="97" t="s">
        <v>3169</v>
      </c>
      <c r="C1072" s="97" t="s">
        <v>315</v>
      </c>
      <c r="D1072" s="97">
        <v>750</v>
      </c>
      <c r="E1072" s="97">
        <v>65</v>
      </c>
      <c r="F1072" s="287" t="s">
        <v>234</v>
      </c>
      <c r="G1072" s="287" t="s">
        <v>3545</v>
      </c>
      <c r="H1072" s="129">
        <v>4.6749999999999998</v>
      </c>
    </row>
    <row r="1073" spans="2:8" x14ac:dyDescent="0.25">
      <c r="B1073" s="112" t="s">
        <v>202</v>
      </c>
      <c r="C1073" s="281" t="s">
        <v>222</v>
      </c>
      <c r="D1073" s="286">
        <v>813</v>
      </c>
      <c r="E1073" s="281">
        <v>39</v>
      </c>
      <c r="F1073" s="285" t="s">
        <v>3027</v>
      </c>
      <c r="G1073" s="285">
        <v>12.32</v>
      </c>
      <c r="H1073" s="283">
        <v>9.1709999999999994</v>
      </c>
    </row>
    <row r="1074" spans="2:8" x14ac:dyDescent="0.25">
      <c r="B1074" s="97" t="s">
        <v>202</v>
      </c>
      <c r="C1074" s="97"/>
      <c r="D1074" s="97">
        <v>820</v>
      </c>
      <c r="E1074" s="97">
        <v>9</v>
      </c>
      <c r="F1074" s="97" t="s">
        <v>2921</v>
      </c>
      <c r="G1074" s="97"/>
      <c r="H1074" s="278">
        <v>2.04</v>
      </c>
    </row>
    <row r="1075" spans="2:8" x14ac:dyDescent="0.25">
      <c r="B1075" s="234" t="s">
        <v>2902</v>
      </c>
      <c r="C1075" s="234"/>
      <c r="D1075" s="234">
        <v>820</v>
      </c>
      <c r="E1075" s="234">
        <v>10</v>
      </c>
      <c r="F1075" s="244"/>
      <c r="G1075" s="234"/>
      <c r="H1075" s="274">
        <v>13.7</v>
      </c>
    </row>
    <row r="1076" spans="2:8" x14ac:dyDescent="0.25">
      <c r="B1076" s="97" t="s">
        <v>202</v>
      </c>
      <c r="C1076" s="97" t="s">
        <v>210</v>
      </c>
      <c r="D1076" s="97">
        <v>820</v>
      </c>
      <c r="E1076" s="97">
        <v>10</v>
      </c>
      <c r="F1076" s="97"/>
      <c r="G1076" s="97"/>
      <c r="H1076" s="278">
        <v>2.36</v>
      </c>
    </row>
    <row r="1077" spans="2:8" x14ac:dyDescent="0.25">
      <c r="B1077" s="97" t="s">
        <v>202</v>
      </c>
      <c r="C1077" s="97" t="s">
        <v>203</v>
      </c>
      <c r="D1077" s="97">
        <v>820</v>
      </c>
      <c r="E1077" s="97">
        <v>10</v>
      </c>
      <c r="F1077" s="97" t="s">
        <v>2922</v>
      </c>
      <c r="G1077" s="97"/>
      <c r="H1077" s="278">
        <v>8.3800000000000008</v>
      </c>
    </row>
    <row r="1078" spans="2:8" x14ac:dyDescent="0.25">
      <c r="B1078" s="187" t="s">
        <v>202</v>
      </c>
      <c r="C1078" s="187" t="s">
        <v>872</v>
      </c>
      <c r="D1078" s="187">
        <v>820</v>
      </c>
      <c r="E1078" s="187">
        <v>11</v>
      </c>
      <c r="F1078" s="112" t="s">
        <v>2896</v>
      </c>
      <c r="G1078" s="234"/>
      <c r="H1078" s="277">
        <v>27.63</v>
      </c>
    </row>
    <row r="1079" spans="2:8" x14ac:dyDescent="0.25">
      <c r="B1079" s="97" t="s">
        <v>202</v>
      </c>
      <c r="C1079" s="97"/>
      <c r="D1079" s="97">
        <v>820</v>
      </c>
      <c r="E1079" s="97">
        <v>12</v>
      </c>
      <c r="F1079" s="97"/>
      <c r="G1079" s="97">
        <v>9.56</v>
      </c>
      <c r="H1079" s="278">
        <v>2.29</v>
      </c>
    </row>
    <row r="1080" spans="2:8" x14ac:dyDescent="0.25">
      <c r="B1080" s="97" t="s">
        <v>202</v>
      </c>
      <c r="C1080" s="257" t="s">
        <v>984</v>
      </c>
      <c r="D1080" s="257">
        <v>820</v>
      </c>
      <c r="E1080" s="234">
        <v>16</v>
      </c>
      <c r="F1080" s="234" t="s">
        <v>2952</v>
      </c>
      <c r="G1080" s="234" t="s">
        <v>2965</v>
      </c>
      <c r="H1080" s="279">
        <v>11.086</v>
      </c>
    </row>
    <row r="1081" spans="2:8" x14ac:dyDescent="0.25">
      <c r="B1081" s="112" t="s">
        <v>202</v>
      </c>
      <c r="C1081" s="112" t="s">
        <v>3031</v>
      </c>
      <c r="D1081" s="112">
        <v>820</v>
      </c>
      <c r="E1081" s="112">
        <v>16</v>
      </c>
      <c r="F1081" s="285" t="s">
        <v>3029</v>
      </c>
      <c r="G1081" s="112" t="s">
        <v>3028</v>
      </c>
      <c r="H1081" s="283">
        <f>9.128-1.708-1.935+16.628-1.605-1.664-1.823-1.64-0.481-1.355-1.826-0.465</f>
        <v>11.253999999999996</v>
      </c>
    </row>
    <row r="1082" spans="2:8" x14ac:dyDescent="0.25">
      <c r="B1082" s="112" t="s">
        <v>202</v>
      </c>
      <c r="C1082" s="112" t="s">
        <v>2817</v>
      </c>
      <c r="D1082" s="112">
        <v>820</v>
      </c>
      <c r="E1082" s="112">
        <v>18</v>
      </c>
      <c r="F1082" s="285" t="s">
        <v>224</v>
      </c>
      <c r="G1082" s="112" t="s">
        <v>3030</v>
      </c>
      <c r="H1082" s="283">
        <v>8.4320000000000004</v>
      </c>
    </row>
    <row r="1083" spans="2:8" x14ac:dyDescent="0.25">
      <c r="B1083" s="234" t="s">
        <v>202</v>
      </c>
      <c r="C1083" s="77" t="s">
        <v>203</v>
      </c>
      <c r="D1083" s="112">
        <v>820</v>
      </c>
      <c r="E1083" s="25" t="s">
        <v>245</v>
      </c>
      <c r="F1083" s="112" t="s">
        <v>2783</v>
      </c>
      <c r="G1083" s="233" t="s">
        <v>155</v>
      </c>
      <c r="H1083" s="276">
        <v>22.5</v>
      </c>
    </row>
    <row r="1084" spans="2:8" x14ac:dyDescent="0.25">
      <c r="B1084" s="97" t="s">
        <v>3169</v>
      </c>
      <c r="C1084" s="97" t="s">
        <v>315</v>
      </c>
      <c r="D1084" s="97">
        <v>930</v>
      </c>
      <c r="E1084" s="97">
        <v>58</v>
      </c>
      <c r="F1084" s="287" t="s">
        <v>234</v>
      </c>
      <c r="G1084" s="287" t="s">
        <v>3546</v>
      </c>
      <c r="H1084" s="129">
        <v>2.3849999999999998</v>
      </c>
    </row>
    <row r="1085" spans="2:8" x14ac:dyDescent="0.25">
      <c r="B1085" s="97" t="s">
        <v>202</v>
      </c>
      <c r="C1085" s="97"/>
      <c r="D1085" s="97">
        <v>1020</v>
      </c>
      <c r="E1085" s="97">
        <v>10</v>
      </c>
      <c r="F1085" s="97"/>
      <c r="G1085" s="97">
        <v>4.18</v>
      </c>
      <c r="H1085" s="278">
        <v>1.05</v>
      </c>
    </row>
    <row r="1086" spans="2:8" x14ac:dyDescent="0.25">
      <c r="B1086" s="234" t="s">
        <v>2902</v>
      </c>
      <c r="C1086" s="234"/>
      <c r="D1086" s="234">
        <v>1020</v>
      </c>
      <c r="E1086" s="234">
        <v>12</v>
      </c>
      <c r="F1086" s="244"/>
      <c r="G1086" s="234"/>
      <c r="H1086" s="274">
        <v>6.7</v>
      </c>
    </row>
    <row r="1087" spans="2:8" x14ac:dyDescent="0.25">
      <c r="B1087" s="112" t="s">
        <v>2908</v>
      </c>
      <c r="C1087" s="55" t="s">
        <v>3000</v>
      </c>
      <c r="D1087" s="263">
        <v>1020</v>
      </c>
      <c r="E1087" s="263">
        <v>15</v>
      </c>
      <c r="F1087" s="266" t="s">
        <v>3011</v>
      </c>
      <c r="G1087" s="234"/>
      <c r="H1087" s="202">
        <v>1.8</v>
      </c>
    </row>
    <row r="1088" spans="2:8" x14ac:dyDescent="0.25">
      <c r="B1088" s="234" t="s">
        <v>202</v>
      </c>
      <c r="C1088" s="234" t="s">
        <v>203</v>
      </c>
      <c r="D1088" s="234">
        <v>1020</v>
      </c>
      <c r="E1088" s="234">
        <v>16</v>
      </c>
      <c r="F1088" s="234" t="s">
        <v>257</v>
      </c>
      <c r="G1088" s="234"/>
      <c r="H1088" s="274">
        <v>4.2</v>
      </c>
    </row>
    <row r="1089" spans="2:8" x14ac:dyDescent="0.25">
      <c r="B1089" s="97" t="s">
        <v>202</v>
      </c>
      <c r="C1089" s="97"/>
      <c r="D1089" s="97">
        <v>1020</v>
      </c>
      <c r="E1089" s="97">
        <v>17</v>
      </c>
      <c r="F1089" s="97" t="s">
        <v>2783</v>
      </c>
      <c r="G1089" s="97"/>
      <c r="H1089" s="278">
        <v>5.05</v>
      </c>
    </row>
    <row r="1090" spans="2:8" x14ac:dyDescent="0.25">
      <c r="B1090" s="112" t="s">
        <v>2908</v>
      </c>
      <c r="C1090" s="257" t="s">
        <v>2817</v>
      </c>
      <c r="D1090" s="257">
        <v>1020</v>
      </c>
      <c r="E1090" s="234">
        <v>18</v>
      </c>
      <c r="F1090" s="234" t="s">
        <v>2949</v>
      </c>
      <c r="G1090" s="234"/>
      <c r="H1090" s="279">
        <v>50</v>
      </c>
    </row>
    <row r="1091" spans="2:8" x14ac:dyDescent="0.25">
      <c r="B1091" s="112" t="s">
        <v>202</v>
      </c>
      <c r="C1091" s="285" t="s">
        <v>3021</v>
      </c>
      <c r="D1091" s="112">
        <v>1020</v>
      </c>
      <c r="E1091" s="112">
        <v>18</v>
      </c>
      <c r="F1091" s="282" t="s">
        <v>3026</v>
      </c>
      <c r="G1091" s="112" t="s">
        <v>3025</v>
      </c>
      <c r="H1091" s="283">
        <f>15.62-5.198</f>
        <v>10.421999999999999</v>
      </c>
    </row>
    <row r="1092" spans="2:8" x14ac:dyDescent="0.25">
      <c r="B1092" s="97" t="s">
        <v>202</v>
      </c>
      <c r="C1092" s="257"/>
      <c r="D1092" s="257">
        <v>1020</v>
      </c>
      <c r="E1092" s="234">
        <v>20</v>
      </c>
      <c r="F1092" s="234" t="s">
        <v>2783</v>
      </c>
      <c r="G1092" s="234">
        <v>2.7</v>
      </c>
      <c r="H1092" s="279">
        <v>1.3320000000000001</v>
      </c>
    </row>
    <row r="1093" spans="2:8" x14ac:dyDescent="0.25">
      <c r="B1093" s="187" t="s">
        <v>202</v>
      </c>
      <c r="C1093" s="112" t="s">
        <v>2817</v>
      </c>
      <c r="D1093" s="112">
        <v>1020</v>
      </c>
      <c r="E1093" s="112">
        <v>22.7</v>
      </c>
      <c r="F1093" s="187" t="s">
        <v>2818</v>
      </c>
      <c r="G1093" s="234"/>
      <c r="H1093" s="277">
        <v>27.72</v>
      </c>
    </row>
    <row r="1094" spans="2:8" x14ac:dyDescent="0.25">
      <c r="B1094" s="112" t="s">
        <v>202</v>
      </c>
      <c r="C1094" s="285" t="s">
        <v>3021</v>
      </c>
      <c r="D1094" s="286">
        <v>1067</v>
      </c>
      <c r="E1094" s="280">
        <v>26</v>
      </c>
      <c r="F1094" s="6" t="s">
        <v>3024</v>
      </c>
      <c r="G1094" s="112">
        <v>6.54</v>
      </c>
      <c r="H1094" s="283">
        <v>4.4089999999999998</v>
      </c>
    </row>
    <row r="1095" spans="2:8" x14ac:dyDescent="0.25">
      <c r="B1095" s="112" t="s">
        <v>2908</v>
      </c>
      <c r="C1095" s="55" t="s">
        <v>2817</v>
      </c>
      <c r="D1095" s="263">
        <v>1067</v>
      </c>
      <c r="E1095" s="261">
        <v>27.5</v>
      </c>
      <c r="F1095" s="260" t="s">
        <v>3012</v>
      </c>
      <c r="G1095" s="234"/>
      <c r="H1095" s="202">
        <v>16.454999999999998</v>
      </c>
    </row>
    <row r="1096" spans="2:8" x14ac:dyDescent="0.25">
      <c r="B1096" s="234" t="s">
        <v>2902</v>
      </c>
      <c r="C1096" s="234"/>
      <c r="D1096" s="234">
        <v>1220</v>
      </c>
      <c r="E1096" s="234">
        <v>12</v>
      </c>
      <c r="F1096" s="244"/>
      <c r="G1096" s="234"/>
      <c r="H1096" s="274">
        <v>28.25</v>
      </c>
    </row>
    <row r="1097" spans="2:8" x14ac:dyDescent="0.25">
      <c r="B1097" s="97" t="s">
        <v>202</v>
      </c>
      <c r="C1097" s="97">
        <v>20</v>
      </c>
      <c r="D1097" s="97">
        <v>1220</v>
      </c>
      <c r="E1097" s="97">
        <v>12</v>
      </c>
      <c r="F1097" s="97" t="s">
        <v>2923</v>
      </c>
      <c r="G1097" s="97"/>
      <c r="H1097" s="278">
        <v>4.18</v>
      </c>
    </row>
    <row r="1098" spans="2:8" x14ac:dyDescent="0.25">
      <c r="B1098" s="187" t="s">
        <v>202</v>
      </c>
      <c r="C1098" s="112" t="s">
        <v>2872</v>
      </c>
      <c r="D1098" s="112">
        <v>1220</v>
      </c>
      <c r="E1098" s="112">
        <v>12.4</v>
      </c>
      <c r="F1098" s="187" t="s">
        <v>2897</v>
      </c>
      <c r="G1098" s="234"/>
      <c r="H1098" s="277">
        <v>8.75</v>
      </c>
    </row>
    <row r="1099" spans="2:8" x14ac:dyDescent="0.25">
      <c r="B1099" s="234" t="s">
        <v>2902</v>
      </c>
      <c r="C1099" s="234"/>
      <c r="D1099" s="234">
        <v>1220</v>
      </c>
      <c r="E1099" s="234">
        <v>13</v>
      </c>
      <c r="F1099" s="244"/>
      <c r="G1099" s="234"/>
      <c r="H1099" s="274">
        <v>17.82</v>
      </c>
    </row>
    <row r="1100" spans="2:8" x14ac:dyDescent="0.25">
      <c r="B1100" s="97" t="s">
        <v>202</v>
      </c>
      <c r="C1100" s="97"/>
      <c r="D1100" s="97">
        <v>1420</v>
      </c>
      <c r="E1100" s="97">
        <v>16.8</v>
      </c>
      <c r="F1100" s="97"/>
      <c r="G1100" s="97"/>
      <c r="H1100" s="278">
        <v>100</v>
      </c>
    </row>
    <row r="1101" spans="2:8" x14ac:dyDescent="0.25">
      <c r="B1101" s="112" t="s">
        <v>202</v>
      </c>
      <c r="C1101" s="285" t="s">
        <v>3021</v>
      </c>
      <c r="D1101" s="286">
        <v>1420</v>
      </c>
      <c r="E1101" s="281">
        <v>25</v>
      </c>
      <c r="F1101" s="285" t="s">
        <v>3022</v>
      </c>
      <c r="G1101" s="112">
        <v>11.95</v>
      </c>
      <c r="H1101" s="284">
        <v>10.381</v>
      </c>
    </row>
    <row r="1102" spans="2:8" x14ac:dyDescent="0.25">
      <c r="B1102" s="112" t="s">
        <v>202</v>
      </c>
      <c r="C1102" s="285" t="s">
        <v>3021</v>
      </c>
      <c r="D1102" s="286">
        <v>1420</v>
      </c>
      <c r="E1102" s="281">
        <v>25.8</v>
      </c>
      <c r="F1102" s="285" t="s">
        <v>3023</v>
      </c>
      <c r="G1102" s="112"/>
      <c r="H1102" s="284">
        <v>30.85</v>
      </c>
    </row>
    <row r="1103" spans="2:8" x14ac:dyDescent="0.25">
      <c r="B1103" s="234" t="s">
        <v>202</v>
      </c>
      <c r="C1103" s="268" t="s">
        <v>3021</v>
      </c>
      <c r="D1103" s="102">
        <v>1420</v>
      </c>
      <c r="E1103" s="267">
        <v>30</v>
      </c>
      <c r="F1103" s="268" t="s">
        <v>2949</v>
      </c>
      <c r="G1103" s="234">
        <v>3.01</v>
      </c>
      <c r="H1103" s="284">
        <v>3.125999999999999</v>
      </c>
    </row>
    <row r="1104" spans="2:8" x14ac:dyDescent="0.25">
      <c r="B1104" s="234" t="s">
        <v>202</v>
      </c>
      <c r="C1104" s="112">
        <v>3</v>
      </c>
      <c r="D1104" s="112">
        <v>1420</v>
      </c>
      <c r="E1104" s="25" t="s">
        <v>245</v>
      </c>
      <c r="F1104" s="112" t="s">
        <v>282</v>
      </c>
      <c r="G1104" s="233" t="s">
        <v>235</v>
      </c>
      <c r="H1104" s="271">
        <v>35</v>
      </c>
    </row>
    <row r="1105" spans="2:8" x14ac:dyDescent="0.25">
      <c r="B1105" s="187" t="s">
        <v>2792</v>
      </c>
      <c r="C1105" s="112">
        <v>3</v>
      </c>
      <c r="D1105" s="112" t="s">
        <v>2807</v>
      </c>
      <c r="E1105" s="106">
        <v>2.8</v>
      </c>
      <c r="F1105" s="187" t="s">
        <v>2892</v>
      </c>
      <c r="G1105" s="70">
        <v>6</v>
      </c>
      <c r="H1105" s="277">
        <v>6.9889999999999999</v>
      </c>
    </row>
    <row r="1106" spans="2:8" x14ac:dyDescent="0.25">
      <c r="B1106" s="187" t="s">
        <v>2792</v>
      </c>
      <c r="C1106" s="112">
        <v>3</v>
      </c>
      <c r="D1106" s="112" t="s">
        <v>2808</v>
      </c>
      <c r="E1106" s="106">
        <v>3.2</v>
      </c>
      <c r="F1106" s="112" t="s">
        <v>2892</v>
      </c>
      <c r="G1106" s="70">
        <v>6</v>
      </c>
      <c r="H1106" s="202">
        <v>0.53900000000000003</v>
      </c>
    </row>
    <row r="1107" spans="2:8" x14ac:dyDescent="0.25">
      <c r="B1107" s="187" t="s">
        <v>2792</v>
      </c>
      <c r="C1107" s="112">
        <v>3</v>
      </c>
      <c r="D1107" s="112" t="s">
        <v>2810</v>
      </c>
      <c r="E1107" s="106">
        <v>3.5</v>
      </c>
      <c r="F1107" s="187" t="s">
        <v>2892</v>
      </c>
      <c r="G1107" s="70">
        <v>6</v>
      </c>
      <c r="H1107" s="277">
        <v>1.8240000000000001</v>
      </c>
    </row>
    <row r="1108" spans="2:8" x14ac:dyDescent="0.25">
      <c r="B1108" s="187" t="s">
        <v>2812</v>
      </c>
      <c r="C1108" s="112"/>
      <c r="D1108" s="112" t="s">
        <v>2813</v>
      </c>
      <c r="E1108" s="106">
        <v>2.8</v>
      </c>
      <c r="F1108" s="112" t="s">
        <v>2892</v>
      </c>
      <c r="G1108" s="70">
        <v>6</v>
      </c>
      <c r="H1108" s="202">
        <v>2.11</v>
      </c>
    </row>
    <row r="1109" spans="2:8" x14ac:dyDescent="0.25">
      <c r="B1109" s="187" t="s">
        <v>2812</v>
      </c>
      <c r="C1109" s="112"/>
      <c r="D1109" s="112" t="s">
        <v>2814</v>
      </c>
      <c r="E1109" s="106">
        <v>2.8</v>
      </c>
      <c r="F1109" s="112" t="s">
        <v>2892</v>
      </c>
      <c r="G1109" s="70">
        <v>6</v>
      </c>
      <c r="H1109" s="202">
        <v>8.2620000000000005</v>
      </c>
    </row>
    <row r="1110" spans="2:8" x14ac:dyDescent="0.25">
      <c r="B1110" s="187" t="s">
        <v>2792</v>
      </c>
      <c r="C1110" s="112">
        <v>3</v>
      </c>
      <c r="D1110" s="112" t="s">
        <v>2809</v>
      </c>
      <c r="E1110" s="106">
        <v>3.2</v>
      </c>
      <c r="F1110" s="187" t="s">
        <v>2892</v>
      </c>
      <c r="G1110" s="70">
        <v>7.8</v>
      </c>
      <c r="H1110" s="277">
        <v>0.1</v>
      </c>
    </row>
  </sheetData>
  <autoFilter ref="B4:H1110">
    <sortState ref="B5:K1110">
      <sortCondition ref="D4:D1110"/>
    </sortState>
  </autoFilter>
  <mergeCells count="2">
    <mergeCell ref="B1:H1"/>
    <mergeCell ref="B3:H3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F108"/>
  <sheetViews>
    <sheetView zoomScale="160" zoomScaleNormal="160" workbookViewId="0">
      <selection activeCell="G8" sqref="G8"/>
    </sheetView>
  </sheetViews>
  <sheetFormatPr defaultRowHeight="12.75" x14ac:dyDescent="0.2"/>
  <cols>
    <col min="1" max="1" width="5.85546875" style="8" customWidth="1"/>
    <col min="2" max="2" width="16.140625" style="108" bestFit="1" customWidth="1"/>
    <col min="3" max="3" width="17.85546875" style="108" bestFit="1" customWidth="1"/>
    <col min="4" max="4" width="16.85546875" style="21" bestFit="1" customWidth="1"/>
    <col min="5" max="5" width="18.7109375" style="20" customWidth="1"/>
    <col min="6" max="6" width="10.7109375" style="20" customWidth="1"/>
    <col min="7" max="16384" width="9.140625" style="8"/>
  </cols>
  <sheetData>
    <row r="1" spans="2:6" s="9" customFormat="1" ht="12.75" customHeight="1" x14ac:dyDescent="0.25">
      <c r="B1" s="302" t="s">
        <v>19</v>
      </c>
      <c r="C1" s="303"/>
      <c r="D1" s="303"/>
      <c r="E1" s="303"/>
      <c r="F1" s="303"/>
    </row>
    <row r="2" spans="2:6" s="9" customFormat="1" ht="1.5" customHeight="1" x14ac:dyDescent="0.25">
      <c r="B2" s="17"/>
      <c r="C2" s="69"/>
      <c r="D2" s="17"/>
      <c r="E2" s="16"/>
      <c r="F2" s="16"/>
    </row>
    <row r="3" spans="2:6" s="9" customFormat="1" ht="41.25" customHeight="1" x14ac:dyDescent="0.25">
      <c r="B3" s="300" t="s">
        <v>724</v>
      </c>
      <c r="C3" s="301"/>
      <c r="D3" s="301"/>
      <c r="E3" s="301"/>
      <c r="F3" s="301"/>
    </row>
    <row r="4" spans="2:6" ht="12.95" customHeight="1" x14ac:dyDescent="0.25">
      <c r="B4" s="61" t="s">
        <v>349</v>
      </c>
      <c r="C4" s="18" t="s">
        <v>21</v>
      </c>
      <c r="D4" s="28" t="s">
        <v>0</v>
      </c>
      <c r="E4" s="13" t="s">
        <v>1</v>
      </c>
      <c r="F4" s="13" t="s">
        <v>2</v>
      </c>
    </row>
    <row r="5" spans="2:6" ht="12.95" customHeight="1" x14ac:dyDescent="0.25">
      <c r="B5" s="234" t="s">
        <v>889</v>
      </c>
      <c r="C5" s="62" t="s">
        <v>890</v>
      </c>
      <c r="D5" s="62">
        <v>16</v>
      </c>
      <c r="E5" s="70" t="s">
        <v>891</v>
      </c>
      <c r="F5" s="70">
        <v>20.48</v>
      </c>
    </row>
    <row r="6" spans="2:6" ht="15" x14ac:dyDescent="0.25">
      <c r="B6" s="234" t="s">
        <v>889</v>
      </c>
      <c r="C6" s="62" t="s">
        <v>1130</v>
      </c>
      <c r="D6" s="62">
        <v>20</v>
      </c>
      <c r="E6" s="70">
        <v>11.7</v>
      </c>
      <c r="F6" s="128">
        <v>8.2899999999999991</v>
      </c>
    </row>
    <row r="7" spans="2:6" s="68" customFormat="1" ht="15" x14ac:dyDescent="0.25">
      <c r="B7" s="234" t="s">
        <v>889</v>
      </c>
      <c r="C7" s="62" t="s">
        <v>1131</v>
      </c>
      <c r="D7" s="62">
        <v>28</v>
      </c>
      <c r="E7" s="70">
        <v>11.7</v>
      </c>
      <c r="F7" s="128">
        <v>19.579999999999998</v>
      </c>
    </row>
    <row r="8" spans="2:6" s="68" customFormat="1" x14ac:dyDescent="0.25">
      <c r="B8" s="55" t="s">
        <v>1143</v>
      </c>
      <c r="C8" s="55" t="s">
        <v>210</v>
      </c>
      <c r="D8" s="78" t="s">
        <v>48</v>
      </c>
      <c r="E8" s="77">
        <v>11.7</v>
      </c>
      <c r="F8" s="4">
        <v>15.61</v>
      </c>
    </row>
    <row r="9" spans="2:6" ht="12.95" customHeight="1" x14ac:dyDescent="0.25">
      <c r="B9" s="55" t="s">
        <v>1143</v>
      </c>
      <c r="C9" s="55" t="s">
        <v>247</v>
      </c>
      <c r="D9" s="80">
        <v>18</v>
      </c>
      <c r="E9" s="142">
        <v>11.3</v>
      </c>
      <c r="F9" s="4">
        <v>1.88</v>
      </c>
    </row>
    <row r="10" spans="2:6" ht="12.95" customHeight="1" x14ac:dyDescent="0.25">
      <c r="B10" s="55" t="s">
        <v>1143</v>
      </c>
      <c r="C10" s="55" t="s">
        <v>210</v>
      </c>
      <c r="D10" s="141" t="s">
        <v>149</v>
      </c>
      <c r="E10" s="77">
        <v>12</v>
      </c>
      <c r="F10" s="4">
        <v>20</v>
      </c>
    </row>
    <row r="11" spans="2:6" ht="12.95" customHeight="1" x14ac:dyDescent="0.25">
      <c r="B11" s="55" t="s">
        <v>1143</v>
      </c>
      <c r="C11" s="55" t="s">
        <v>210</v>
      </c>
      <c r="D11" s="141" t="s">
        <v>894</v>
      </c>
      <c r="E11" s="77">
        <v>12</v>
      </c>
      <c r="F11" s="4">
        <v>0.44</v>
      </c>
    </row>
    <row r="12" spans="2:6" ht="12.95" customHeight="1" x14ac:dyDescent="0.25">
      <c r="B12" s="55" t="s">
        <v>1143</v>
      </c>
      <c r="C12" s="55" t="s">
        <v>210</v>
      </c>
      <c r="D12" s="78" t="s">
        <v>274</v>
      </c>
      <c r="E12" s="77">
        <v>12</v>
      </c>
      <c r="F12" s="1">
        <v>14.6</v>
      </c>
    </row>
    <row r="13" spans="2:6" ht="12.95" customHeight="1" x14ac:dyDescent="0.25">
      <c r="B13" s="55" t="s">
        <v>1143</v>
      </c>
      <c r="C13" s="55" t="s">
        <v>247</v>
      </c>
      <c r="D13" s="141" t="s">
        <v>275</v>
      </c>
      <c r="E13" s="77">
        <v>12</v>
      </c>
      <c r="F13" s="82">
        <v>0.87</v>
      </c>
    </row>
    <row r="14" spans="2:6" s="68" customFormat="1" ht="12.95" customHeight="1" x14ac:dyDescent="0.25">
      <c r="B14" s="55" t="s">
        <v>1143</v>
      </c>
      <c r="C14" s="78">
        <v>3</v>
      </c>
      <c r="D14" s="141" t="s">
        <v>188</v>
      </c>
      <c r="E14" s="77">
        <v>12</v>
      </c>
      <c r="F14" s="82">
        <v>3.84</v>
      </c>
    </row>
    <row r="15" spans="2:6" ht="12.95" customHeight="1" x14ac:dyDescent="0.25">
      <c r="B15" s="55" t="s">
        <v>1143</v>
      </c>
      <c r="C15" s="29" t="s">
        <v>883</v>
      </c>
      <c r="D15" s="27" t="s">
        <v>260</v>
      </c>
      <c r="E15" s="26">
        <v>12</v>
      </c>
      <c r="F15" s="4">
        <v>1.1299999999999999</v>
      </c>
    </row>
    <row r="16" spans="2:6" ht="12.95" customHeight="1" x14ac:dyDescent="0.25">
      <c r="B16" s="55" t="s">
        <v>1143</v>
      </c>
      <c r="C16" s="29" t="s">
        <v>883</v>
      </c>
      <c r="D16" s="27" t="s">
        <v>261</v>
      </c>
      <c r="E16" s="26">
        <v>12</v>
      </c>
      <c r="F16" s="4">
        <v>24.5</v>
      </c>
    </row>
    <row r="17" spans="2:6" ht="12.95" customHeight="1" x14ac:dyDescent="0.25">
      <c r="B17" s="55" t="s">
        <v>1143</v>
      </c>
      <c r="C17" s="29" t="s">
        <v>883</v>
      </c>
      <c r="D17" s="27" t="s">
        <v>22</v>
      </c>
      <c r="E17" s="26">
        <v>12</v>
      </c>
      <c r="F17" s="4">
        <v>19.670000000000002</v>
      </c>
    </row>
    <row r="18" spans="2:6" ht="12.95" customHeight="1" x14ac:dyDescent="0.25">
      <c r="B18" s="55" t="s">
        <v>1143</v>
      </c>
      <c r="C18" s="78" t="s">
        <v>210</v>
      </c>
      <c r="D18" s="27" t="s">
        <v>22</v>
      </c>
      <c r="E18" s="26">
        <v>12</v>
      </c>
      <c r="F18" s="82">
        <v>78.34</v>
      </c>
    </row>
    <row r="19" spans="2:6" ht="12.95" customHeight="1" x14ac:dyDescent="0.25">
      <c r="B19" s="55" t="s">
        <v>1143</v>
      </c>
      <c r="C19" s="78" t="s">
        <v>210</v>
      </c>
      <c r="D19" s="27" t="s">
        <v>892</v>
      </c>
      <c r="E19" s="26">
        <v>12</v>
      </c>
      <c r="F19" s="82">
        <v>4.63</v>
      </c>
    </row>
    <row r="20" spans="2:6" s="68" customFormat="1" ht="12.95" customHeight="1" x14ac:dyDescent="0.25">
      <c r="B20" s="55" t="s">
        <v>1143</v>
      </c>
      <c r="C20" s="78">
        <v>3</v>
      </c>
      <c r="D20" s="78" t="s">
        <v>49</v>
      </c>
      <c r="E20" s="77">
        <v>12</v>
      </c>
      <c r="F20" s="82">
        <v>93</v>
      </c>
    </row>
    <row r="21" spans="2:6" ht="12.95" customHeight="1" x14ac:dyDescent="0.25">
      <c r="B21" s="55" t="s">
        <v>1143</v>
      </c>
      <c r="C21" s="29" t="s">
        <v>883</v>
      </c>
      <c r="D21" s="27" t="s">
        <v>49</v>
      </c>
      <c r="E21" s="26">
        <v>12</v>
      </c>
      <c r="F21" s="82">
        <v>124.2</v>
      </c>
    </row>
    <row r="22" spans="2:6" s="68" customFormat="1" ht="12.95" customHeight="1" x14ac:dyDescent="0.25">
      <c r="B22" s="55" t="s">
        <v>1143</v>
      </c>
      <c r="C22" s="78" t="s">
        <v>210</v>
      </c>
      <c r="D22" s="78" t="s">
        <v>49</v>
      </c>
      <c r="E22" s="77">
        <v>12</v>
      </c>
      <c r="F22" s="82">
        <v>12.76</v>
      </c>
    </row>
    <row r="23" spans="2:6" s="68" customFormat="1" ht="12.95" customHeight="1" x14ac:dyDescent="0.25">
      <c r="B23" s="55" t="s">
        <v>1143</v>
      </c>
      <c r="C23" s="78" t="s">
        <v>210</v>
      </c>
      <c r="D23" s="78" t="s">
        <v>1119</v>
      </c>
      <c r="E23" s="77">
        <v>12</v>
      </c>
      <c r="F23" s="82">
        <v>8.98</v>
      </c>
    </row>
    <row r="24" spans="2:6" s="68" customFormat="1" ht="12.95" customHeight="1" x14ac:dyDescent="0.25">
      <c r="B24" s="55" t="s">
        <v>1143</v>
      </c>
      <c r="C24" s="78" t="s">
        <v>210</v>
      </c>
      <c r="D24" s="78" t="s">
        <v>276</v>
      </c>
      <c r="E24" s="77">
        <v>12</v>
      </c>
      <c r="F24" s="82">
        <v>5.93</v>
      </c>
    </row>
    <row r="25" spans="2:6" s="68" customFormat="1" ht="12.95" customHeight="1" x14ac:dyDescent="0.25">
      <c r="B25" s="55" t="s">
        <v>1143</v>
      </c>
      <c r="C25" s="78" t="s">
        <v>210</v>
      </c>
      <c r="D25" s="78" t="s">
        <v>886</v>
      </c>
      <c r="E25" s="77">
        <v>12</v>
      </c>
      <c r="F25" s="82">
        <v>2.74</v>
      </c>
    </row>
    <row r="26" spans="2:6" ht="12.95" customHeight="1" x14ac:dyDescent="0.25">
      <c r="B26" s="55" t="s">
        <v>1143</v>
      </c>
      <c r="C26" s="78" t="s">
        <v>210</v>
      </c>
      <c r="D26" s="27" t="s">
        <v>887</v>
      </c>
      <c r="E26" s="26">
        <v>12</v>
      </c>
      <c r="F26" s="82">
        <v>3.33</v>
      </c>
    </row>
    <row r="27" spans="2:6" ht="12.95" customHeight="1" x14ac:dyDescent="0.25">
      <c r="B27" s="55" t="s">
        <v>1143</v>
      </c>
      <c r="C27" s="78">
        <v>3</v>
      </c>
      <c r="D27" s="27" t="s">
        <v>187</v>
      </c>
      <c r="E27" s="26">
        <v>12</v>
      </c>
      <c r="F27" s="82">
        <v>5.63</v>
      </c>
    </row>
    <row r="28" spans="2:6" s="68" customFormat="1" ht="12.95" customHeight="1" x14ac:dyDescent="0.25">
      <c r="B28" s="55" t="s">
        <v>1143</v>
      </c>
      <c r="C28" s="78">
        <v>3</v>
      </c>
      <c r="D28" s="78" t="s">
        <v>269</v>
      </c>
      <c r="E28" s="77">
        <v>12</v>
      </c>
      <c r="F28" s="4">
        <v>2</v>
      </c>
    </row>
    <row r="29" spans="2:6" ht="12.95" customHeight="1" x14ac:dyDescent="0.25">
      <c r="B29" s="55" t="s">
        <v>1143</v>
      </c>
      <c r="C29" s="29" t="s">
        <v>856</v>
      </c>
      <c r="D29" s="27" t="s">
        <v>52</v>
      </c>
      <c r="E29" s="26">
        <v>12</v>
      </c>
      <c r="F29" s="4">
        <v>11.1</v>
      </c>
    </row>
    <row r="30" spans="2:6" ht="12.95" customHeight="1" x14ac:dyDescent="0.25">
      <c r="B30" s="55" t="s">
        <v>1143</v>
      </c>
      <c r="C30" s="78" t="s">
        <v>884</v>
      </c>
      <c r="D30" s="60" t="s">
        <v>52</v>
      </c>
      <c r="E30" s="26">
        <v>12</v>
      </c>
      <c r="F30" s="4">
        <v>12.5</v>
      </c>
    </row>
    <row r="31" spans="2:6" ht="12.95" customHeight="1" x14ac:dyDescent="0.25">
      <c r="B31" s="55" t="s">
        <v>1143</v>
      </c>
      <c r="C31" s="78">
        <v>3</v>
      </c>
      <c r="D31" s="27" t="s">
        <v>1117</v>
      </c>
      <c r="E31" s="26">
        <v>12</v>
      </c>
      <c r="F31" s="4">
        <v>6.01</v>
      </c>
    </row>
    <row r="32" spans="2:6" ht="12.95" customHeight="1" x14ac:dyDescent="0.25">
      <c r="B32" s="55" t="s">
        <v>1143</v>
      </c>
      <c r="C32" s="78" t="s">
        <v>884</v>
      </c>
      <c r="D32" s="60" t="s">
        <v>1117</v>
      </c>
      <c r="E32" s="26">
        <v>12</v>
      </c>
      <c r="F32" s="4">
        <v>12.12</v>
      </c>
    </row>
    <row r="33" spans="2:6" ht="12.95" customHeight="1" x14ac:dyDescent="0.25">
      <c r="B33" s="55" t="s">
        <v>1143</v>
      </c>
      <c r="C33" s="78" t="s">
        <v>884</v>
      </c>
      <c r="D33" s="27" t="s">
        <v>1118</v>
      </c>
      <c r="E33" s="26">
        <v>12</v>
      </c>
      <c r="F33" s="4">
        <v>2.34</v>
      </c>
    </row>
    <row r="34" spans="2:6" ht="12.95" customHeight="1" x14ac:dyDescent="0.25">
      <c r="B34" s="55" t="s">
        <v>1143</v>
      </c>
      <c r="C34" s="78">
        <v>3</v>
      </c>
      <c r="D34" s="27" t="s">
        <v>895</v>
      </c>
      <c r="E34" s="26">
        <v>12</v>
      </c>
      <c r="F34" s="4">
        <v>0.94</v>
      </c>
    </row>
    <row r="35" spans="2:6" ht="12.95" customHeight="1" x14ac:dyDescent="0.25">
      <c r="B35" s="55" t="s">
        <v>1144</v>
      </c>
      <c r="C35" s="27">
        <v>3</v>
      </c>
      <c r="D35" s="27" t="s">
        <v>187</v>
      </c>
      <c r="E35" s="26">
        <v>8.15</v>
      </c>
      <c r="F35" s="1">
        <v>1.17</v>
      </c>
    </row>
    <row r="36" spans="2:6" ht="12.95" customHeight="1" x14ac:dyDescent="0.25">
      <c r="B36" s="63" t="s">
        <v>831</v>
      </c>
      <c r="C36" s="63">
        <v>3</v>
      </c>
      <c r="D36" s="59" t="s">
        <v>291</v>
      </c>
      <c r="E36" s="143"/>
      <c r="F36" s="4">
        <v>6.65</v>
      </c>
    </row>
    <row r="37" spans="2:6" ht="12.95" customHeight="1" x14ac:dyDescent="0.25">
      <c r="B37" s="63" t="s">
        <v>152</v>
      </c>
      <c r="C37" s="63">
        <v>70</v>
      </c>
      <c r="D37" s="79" t="s">
        <v>153</v>
      </c>
      <c r="E37" s="4">
        <v>12.5</v>
      </c>
      <c r="F37" s="4">
        <v>4.97</v>
      </c>
    </row>
    <row r="38" spans="2:6" ht="12.95" customHeight="1" x14ac:dyDescent="0.25">
      <c r="B38" s="63" t="s">
        <v>1132</v>
      </c>
      <c r="C38" s="63" t="s">
        <v>247</v>
      </c>
      <c r="D38" s="22" t="s">
        <v>197</v>
      </c>
      <c r="E38" s="22" t="s">
        <v>195</v>
      </c>
      <c r="F38" s="23">
        <v>2.2599999999999998</v>
      </c>
    </row>
    <row r="39" spans="2:6" ht="12.95" customHeight="1" x14ac:dyDescent="0.25">
      <c r="B39" s="63" t="s">
        <v>1132</v>
      </c>
      <c r="C39" s="63" t="s">
        <v>247</v>
      </c>
      <c r="D39" s="22" t="s">
        <v>198</v>
      </c>
      <c r="E39" s="22" t="s">
        <v>196</v>
      </c>
      <c r="F39" s="23">
        <v>5.58</v>
      </c>
    </row>
    <row r="40" spans="2:6" ht="12.95" customHeight="1" x14ac:dyDescent="0.25">
      <c r="B40" s="63" t="s">
        <v>1132</v>
      </c>
      <c r="C40" s="55" t="s">
        <v>210</v>
      </c>
      <c r="D40" s="87" t="s">
        <v>3</v>
      </c>
      <c r="E40" s="82">
        <v>12</v>
      </c>
      <c r="F40" s="58">
        <v>1</v>
      </c>
    </row>
    <row r="41" spans="2:6" ht="12.95" customHeight="1" x14ac:dyDescent="0.25">
      <c r="B41" s="63" t="s">
        <v>1132</v>
      </c>
      <c r="C41" s="63" t="s">
        <v>247</v>
      </c>
      <c r="D41" s="22" t="s">
        <v>199</v>
      </c>
      <c r="E41" s="22" t="s">
        <v>46</v>
      </c>
      <c r="F41" s="23">
        <v>0.95</v>
      </c>
    </row>
    <row r="42" spans="2:6" ht="12.95" customHeight="1" x14ac:dyDescent="0.25">
      <c r="B42" s="63" t="s">
        <v>1132</v>
      </c>
      <c r="C42" s="55" t="s">
        <v>1139</v>
      </c>
      <c r="D42" s="22" t="s">
        <v>1133</v>
      </c>
      <c r="E42" s="22" t="s">
        <v>1135</v>
      </c>
      <c r="F42" s="23">
        <v>1.47</v>
      </c>
    </row>
    <row r="43" spans="2:6" ht="12.95" customHeight="1" x14ac:dyDescent="0.25">
      <c r="B43" s="63" t="s">
        <v>1132</v>
      </c>
      <c r="C43" s="55" t="s">
        <v>210</v>
      </c>
      <c r="D43" s="27" t="s">
        <v>4</v>
      </c>
      <c r="E43" s="26">
        <v>12</v>
      </c>
      <c r="F43" s="77">
        <v>4.22</v>
      </c>
    </row>
    <row r="44" spans="2:6" s="68" customFormat="1" ht="12.95" customHeight="1" x14ac:dyDescent="0.25">
      <c r="B44" s="63" t="s">
        <v>1132</v>
      </c>
      <c r="C44" s="55" t="s">
        <v>210</v>
      </c>
      <c r="D44" s="78" t="s">
        <v>4</v>
      </c>
      <c r="E44" s="77" t="s">
        <v>44</v>
      </c>
      <c r="F44" s="77">
        <v>3.4</v>
      </c>
    </row>
    <row r="45" spans="2:6" ht="12.95" customHeight="1" x14ac:dyDescent="0.25">
      <c r="B45" s="63" t="s">
        <v>1132</v>
      </c>
      <c r="C45" s="55" t="s">
        <v>210</v>
      </c>
      <c r="D45" s="27" t="s">
        <v>5</v>
      </c>
      <c r="E45" s="26">
        <v>12</v>
      </c>
      <c r="F45" s="77">
        <v>0.25</v>
      </c>
    </row>
    <row r="46" spans="2:6" ht="12.95" customHeight="1" x14ac:dyDescent="0.25">
      <c r="B46" s="63" t="s">
        <v>1132</v>
      </c>
      <c r="C46" s="55" t="s">
        <v>210</v>
      </c>
      <c r="D46" s="56" t="s">
        <v>6</v>
      </c>
      <c r="E46" s="26">
        <v>12</v>
      </c>
      <c r="F46" s="77">
        <v>4.2</v>
      </c>
    </row>
    <row r="47" spans="2:6" ht="12.95" customHeight="1" x14ac:dyDescent="0.25">
      <c r="B47" s="63" t="s">
        <v>1132</v>
      </c>
      <c r="C47" s="55" t="s">
        <v>210</v>
      </c>
      <c r="D47" s="56" t="s">
        <v>6</v>
      </c>
      <c r="E47" s="26">
        <v>9.5</v>
      </c>
      <c r="F47" s="77">
        <v>0.33</v>
      </c>
    </row>
    <row r="48" spans="2:6" ht="12.95" customHeight="1" x14ac:dyDescent="0.25">
      <c r="B48" s="63" t="s">
        <v>1132</v>
      </c>
      <c r="C48" s="55" t="s">
        <v>1139</v>
      </c>
      <c r="D48" s="27" t="s">
        <v>1134</v>
      </c>
      <c r="E48" s="26">
        <v>12</v>
      </c>
      <c r="F48" s="77">
        <v>4.08</v>
      </c>
    </row>
    <row r="49" spans="2:6" ht="12.95" customHeight="1" x14ac:dyDescent="0.25">
      <c r="B49" s="63" t="s">
        <v>1132</v>
      </c>
      <c r="C49" s="63" t="s">
        <v>247</v>
      </c>
      <c r="D49" s="27" t="s">
        <v>258</v>
      </c>
      <c r="E49" s="26"/>
      <c r="F49" s="77">
        <v>4.2</v>
      </c>
    </row>
    <row r="50" spans="2:6" ht="12.95" customHeight="1" x14ac:dyDescent="0.25">
      <c r="B50" s="63" t="s">
        <v>1132</v>
      </c>
      <c r="C50" s="55" t="s">
        <v>1138</v>
      </c>
      <c r="D50" s="27" t="s">
        <v>1136</v>
      </c>
      <c r="E50" s="26">
        <v>12</v>
      </c>
      <c r="F50" s="77">
        <v>2.63</v>
      </c>
    </row>
    <row r="51" spans="2:6" ht="12.95" customHeight="1" x14ac:dyDescent="0.25">
      <c r="B51" s="63" t="s">
        <v>1132</v>
      </c>
      <c r="C51" s="55" t="s">
        <v>1138</v>
      </c>
      <c r="D51" s="27" t="s">
        <v>1137</v>
      </c>
      <c r="E51" s="26">
        <v>12</v>
      </c>
      <c r="F51" s="77">
        <v>2.7</v>
      </c>
    </row>
    <row r="52" spans="2:6" ht="12.95" customHeight="1" x14ac:dyDescent="0.25">
      <c r="B52" s="63" t="s">
        <v>1132</v>
      </c>
      <c r="C52" s="55" t="s">
        <v>1138</v>
      </c>
      <c r="D52" s="27" t="s">
        <v>1140</v>
      </c>
      <c r="E52" s="26">
        <v>12</v>
      </c>
      <c r="F52" s="77">
        <v>1.1599999999999999</v>
      </c>
    </row>
    <row r="53" spans="2:6" s="68" customFormat="1" ht="12.95" customHeight="1" x14ac:dyDescent="0.25">
      <c r="B53" s="63" t="s">
        <v>1132</v>
      </c>
      <c r="C53" s="55" t="s">
        <v>1139</v>
      </c>
      <c r="D53" s="78" t="s">
        <v>1141</v>
      </c>
      <c r="E53" s="77">
        <v>12</v>
      </c>
      <c r="F53" s="77">
        <v>19.97</v>
      </c>
    </row>
    <row r="54" spans="2:6" s="68" customFormat="1" ht="12.95" customHeight="1" x14ac:dyDescent="0.25">
      <c r="B54" s="63" t="s">
        <v>1132</v>
      </c>
      <c r="C54" s="55" t="s">
        <v>210</v>
      </c>
      <c r="D54" s="78" t="s">
        <v>7</v>
      </c>
      <c r="E54" s="77">
        <v>11.3</v>
      </c>
      <c r="F54" s="77">
        <v>0.66</v>
      </c>
    </row>
    <row r="55" spans="2:6" s="68" customFormat="1" ht="12.95" customHeight="1" x14ac:dyDescent="0.25">
      <c r="B55" s="63" t="s">
        <v>1132</v>
      </c>
      <c r="C55" s="55" t="s">
        <v>210</v>
      </c>
      <c r="D55" s="78" t="s">
        <v>8</v>
      </c>
      <c r="E55" s="77" t="s">
        <v>45</v>
      </c>
      <c r="F55" s="77">
        <v>1.25</v>
      </c>
    </row>
    <row r="56" spans="2:6" ht="12.95" customHeight="1" x14ac:dyDescent="0.25">
      <c r="B56" s="63" t="s">
        <v>1132</v>
      </c>
      <c r="C56" s="63" t="s">
        <v>856</v>
      </c>
      <c r="D56" s="60" t="s">
        <v>1142</v>
      </c>
      <c r="E56" s="26">
        <v>12</v>
      </c>
      <c r="F56" s="77">
        <v>4.34</v>
      </c>
    </row>
    <row r="57" spans="2:6" s="10" customFormat="1" ht="12.95" customHeight="1" x14ac:dyDescent="0.25">
      <c r="B57" s="87" t="s">
        <v>1148</v>
      </c>
      <c r="C57" s="139">
        <v>3</v>
      </c>
      <c r="D57" s="139" t="s">
        <v>1149</v>
      </c>
      <c r="E57" s="140">
        <v>12</v>
      </c>
      <c r="F57" s="140">
        <v>6.95</v>
      </c>
    </row>
    <row r="58" spans="2:6" s="10" customFormat="1" ht="12.95" customHeight="1" x14ac:dyDescent="0.25">
      <c r="B58" s="87" t="s">
        <v>1148</v>
      </c>
      <c r="C58" s="139">
        <v>3</v>
      </c>
      <c r="D58" s="139" t="s">
        <v>1150</v>
      </c>
      <c r="E58" s="140">
        <v>12</v>
      </c>
      <c r="F58" s="140">
        <v>4.5979999999999999</v>
      </c>
    </row>
    <row r="59" spans="2:6" s="10" customFormat="1" ht="12.95" customHeight="1" x14ac:dyDescent="0.25">
      <c r="B59" s="87" t="s">
        <v>1148</v>
      </c>
      <c r="C59" s="139">
        <v>3</v>
      </c>
      <c r="D59" s="139" t="s">
        <v>1151</v>
      </c>
      <c r="E59" s="140">
        <v>12</v>
      </c>
      <c r="F59" s="140">
        <v>0.34100000000000003</v>
      </c>
    </row>
    <row r="60" spans="2:6" s="10" customFormat="1" ht="12.95" customHeight="1" x14ac:dyDescent="0.25">
      <c r="B60" s="87" t="s">
        <v>1148</v>
      </c>
      <c r="C60" s="139">
        <v>3</v>
      </c>
      <c r="D60" s="139" t="s">
        <v>1152</v>
      </c>
      <c r="E60" s="140">
        <v>12</v>
      </c>
      <c r="F60" s="140">
        <v>7.1340000000000003</v>
      </c>
    </row>
    <row r="61" spans="2:6" s="10" customFormat="1" ht="12.95" customHeight="1" x14ac:dyDescent="0.25">
      <c r="B61" s="87" t="s">
        <v>1148</v>
      </c>
      <c r="C61" s="139">
        <v>3</v>
      </c>
      <c r="D61" s="139" t="s">
        <v>1153</v>
      </c>
      <c r="E61" s="140">
        <v>12</v>
      </c>
      <c r="F61" s="140">
        <v>10.61</v>
      </c>
    </row>
    <row r="62" spans="2:6" s="10" customFormat="1" ht="12.95" customHeight="1" x14ac:dyDescent="0.25">
      <c r="B62" s="87" t="s">
        <v>1148</v>
      </c>
      <c r="C62" s="139">
        <v>3</v>
      </c>
      <c r="D62" s="139" t="s">
        <v>259</v>
      </c>
      <c r="E62" s="139" t="s">
        <v>1120</v>
      </c>
      <c r="F62" s="140">
        <v>4.7050000000000001</v>
      </c>
    </row>
    <row r="63" spans="2:6" s="10" customFormat="1" ht="12.95" customHeight="1" x14ac:dyDescent="0.25">
      <c r="B63" s="87" t="s">
        <v>1148</v>
      </c>
      <c r="C63" s="139" t="s">
        <v>210</v>
      </c>
      <c r="D63" s="139" t="s">
        <v>259</v>
      </c>
      <c r="E63" s="139" t="s">
        <v>1521</v>
      </c>
      <c r="F63" s="140">
        <v>2.13</v>
      </c>
    </row>
    <row r="64" spans="2:6" s="10" customFormat="1" ht="12.95" customHeight="1" x14ac:dyDescent="0.25">
      <c r="B64" s="87" t="s">
        <v>1148</v>
      </c>
      <c r="C64" s="139">
        <v>3</v>
      </c>
      <c r="D64" s="139" t="s">
        <v>189</v>
      </c>
      <c r="E64" s="139" t="s">
        <v>1121</v>
      </c>
      <c r="F64" s="140">
        <v>4.5720000000000001</v>
      </c>
    </row>
    <row r="65" spans="2:6" s="10" customFormat="1" ht="12.95" customHeight="1" x14ac:dyDescent="0.25">
      <c r="B65" s="87" t="s">
        <v>1148</v>
      </c>
      <c r="C65" s="139" t="s">
        <v>210</v>
      </c>
      <c r="D65" s="139" t="s">
        <v>189</v>
      </c>
      <c r="E65" s="139" t="s">
        <v>1158</v>
      </c>
      <c r="F65" s="140">
        <v>9.2449999999999992</v>
      </c>
    </row>
    <row r="66" spans="2:6" s="10" customFormat="1" ht="12.95" customHeight="1" x14ac:dyDescent="0.25">
      <c r="B66" s="87" t="s">
        <v>1148</v>
      </c>
      <c r="C66" s="139">
        <v>3</v>
      </c>
      <c r="D66" s="139" t="s">
        <v>1154</v>
      </c>
      <c r="E66" s="139" t="s">
        <v>1122</v>
      </c>
      <c r="F66" s="140">
        <v>4.415</v>
      </c>
    </row>
    <row r="67" spans="2:6" s="10" customFormat="1" ht="12.95" customHeight="1" x14ac:dyDescent="0.25">
      <c r="B67" s="87" t="s">
        <v>1148</v>
      </c>
      <c r="C67" s="139">
        <v>3</v>
      </c>
      <c r="D67" s="139" t="s">
        <v>1155</v>
      </c>
      <c r="E67" s="139" t="s">
        <v>1123</v>
      </c>
      <c r="F67" s="140">
        <v>4.6059999999999999</v>
      </c>
    </row>
    <row r="68" spans="2:6" s="10" customFormat="1" ht="12.95" customHeight="1" x14ac:dyDescent="0.25">
      <c r="B68" s="87" t="s">
        <v>1148</v>
      </c>
      <c r="C68" s="139">
        <v>3</v>
      </c>
      <c r="D68" s="139" t="s">
        <v>1156</v>
      </c>
      <c r="E68" s="139" t="s">
        <v>1124</v>
      </c>
      <c r="F68" s="140">
        <v>6.5759999999999996</v>
      </c>
    </row>
    <row r="69" spans="2:6" s="10" customFormat="1" ht="12.95" customHeight="1" x14ac:dyDescent="0.25">
      <c r="B69" s="87" t="s">
        <v>1148</v>
      </c>
      <c r="C69" s="139">
        <v>3</v>
      </c>
      <c r="D69" s="139" t="s">
        <v>1157</v>
      </c>
      <c r="E69" s="140">
        <v>12</v>
      </c>
      <c r="F69" s="140">
        <v>1.736</v>
      </c>
    </row>
    <row r="70" spans="2:6" s="10" customFormat="1" ht="12.95" customHeight="1" x14ac:dyDescent="0.25">
      <c r="B70" s="87" t="s">
        <v>1147</v>
      </c>
      <c r="C70" s="87">
        <v>3</v>
      </c>
      <c r="D70" s="79" t="s">
        <v>190</v>
      </c>
      <c r="E70" s="1">
        <v>12</v>
      </c>
      <c r="F70" s="4">
        <v>15.82</v>
      </c>
    </row>
    <row r="71" spans="2:6" s="10" customFormat="1" ht="12.95" customHeight="1" x14ac:dyDescent="0.25">
      <c r="B71" s="87" t="s">
        <v>1147</v>
      </c>
      <c r="C71" s="87">
        <v>3</v>
      </c>
      <c r="D71" s="79" t="s">
        <v>63</v>
      </c>
      <c r="E71" s="82">
        <v>11.7</v>
      </c>
      <c r="F71" s="4">
        <v>4.01</v>
      </c>
    </row>
    <row r="72" spans="2:6" s="10" customFormat="1" ht="12.95" customHeight="1" x14ac:dyDescent="0.25">
      <c r="B72" s="87" t="s">
        <v>1147</v>
      </c>
      <c r="C72" s="87">
        <v>3</v>
      </c>
      <c r="D72" s="79" t="s">
        <v>1079</v>
      </c>
      <c r="E72" s="82">
        <v>12</v>
      </c>
      <c r="F72" s="4">
        <v>3.14</v>
      </c>
    </row>
    <row r="73" spans="2:6" s="10" customFormat="1" ht="12.95" customHeight="1" x14ac:dyDescent="0.25">
      <c r="B73" s="87" t="s">
        <v>1147</v>
      </c>
      <c r="C73" s="50">
        <v>3</v>
      </c>
      <c r="D73" s="79" t="s">
        <v>1080</v>
      </c>
      <c r="E73" s="1">
        <v>12</v>
      </c>
      <c r="F73" s="4">
        <v>7.32</v>
      </c>
    </row>
    <row r="74" spans="2:6" s="10" customFormat="1" ht="12.95" customHeight="1" x14ac:dyDescent="0.25">
      <c r="B74" s="87" t="s">
        <v>1147</v>
      </c>
      <c r="C74" s="4" t="s">
        <v>210</v>
      </c>
      <c r="D74" s="79" t="s">
        <v>1095</v>
      </c>
      <c r="E74" s="82">
        <v>12</v>
      </c>
      <c r="F74" s="4">
        <v>1.34</v>
      </c>
    </row>
    <row r="75" spans="2:6" s="10" customFormat="1" ht="12.95" customHeight="1" x14ac:dyDescent="0.25">
      <c r="B75" s="87" t="s">
        <v>1147</v>
      </c>
      <c r="C75" s="87">
        <v>3</v>
      </c>
      <c r="D75" s="79" t="s">
        <v>1081</v>
      </c>
      <c r="E75" s="82">
        <v>12</v>
      </c>
      <c r="F75" s="4">
        <v>11.02</v>
      </c>
    </row>
    <row r="76" spans="2:6" s="10" customFormat="1" ht="12.95" customHeight="1" x14ac:dyDescent="0.25">
      <c r="B76" s="87" t="s">
        <v>1147</v>
      </c>
      <c r="C76" s="4" t="s">
        <v>210</v>
      </c>
      <c r="D76" s="79" t="s">
        <v>262</v>
      </c>
      <c r="E76" s="82">
        <v>12</v>
      </c>
      <c r="F76" s="4">
        <v>3.52</v>
      </c>
    </row>
    <row r="77" spans="2:6" s="10" customFormat="1" ht="12.95" customHeight="1" x14ac:dyDescent="0.25">
      <c r="B77" s="87" t="s">
        <v>1147</v>
      </c>
      <c r="C77" s="87">
        <v>3</v>
      </c>
      <c r="D77" s="79" t="s">
        <v>1082</v>
      </c>
      <c r="E77" s="82">
        <v>12</v>
      </c>
      <c r="F77" s="4">
        <v>6.36</v>
      </c>
    </row>
    <row r="78" spans="2:6" s="10" customFormat="1" ht="12.95" customHeight="1" x14ac:dyDescent="0.25">
      <c r="B78" s="87" t="s">
        <v>1147</v>
      </c>
      <c r="C78" s="50">
        <v>3</v>
      </c>
      <c r="D78" s="88" t="s">
        <v>51</v>
      </c>
      <c r="E78" s="82">
        <v>11.7</v>
      </c>
      <c r="F78" s="82">
        <v>2.84</v>
      </c>
    </row>
    <row r="79" spans="2:6" s="10" customFormat="1" ht="12.95" customHeight="1" x14ac:dyDescent="0.25">
      <c r="B79" s="87" t="s">
        <v>1147</v>
      </c>
      <c r="C79" s="50" t="s">
        <v>1097</v>
      </c>
      <c r="D79" s="88" t="s">
        <v>1096</v>
      </c>
      <c r="E79" s="82">
        <v>11.7</v>
      </c>
      <c r="F79" s="82">
        <v>3.36</v>
      </c>
    </row>
    <row r="80" spans="2:6" s="10" customFormat="1" ht="12.95" customHeight="1" x14ac:dyDescent="0.25">
      <c r="B80" s="87" t="s">
        <v>1147</v>
      </c>
      <c r="C80" s="4" t="s">
        <v>210</v>
      </c>
      <c r="D80" s="88" t="s">
        <v>1127</v>
      </c>
      <c r="E80" s="82" t="s">
        <v>1128</v>
      </c>
      <c r="F80" s="82">
        <v>7.22</v>
      </c>
    </row>
    <row r="81" spans="2:6" ht="12.95" customHeight="1" x14ac:dyDescent="0.25">
      <c r="B81" s="87" t="s">
        <v>1147</v>
      </c>
      <c r="C81" s="4" t="s">
        <v>210</v>
      </c>
      <c r="D81" s="88" t="s">
        <v>273</v>
      </c>
      <c r="E81" s="1">
        <v>12</v>
      </c>
      <c r="F81" s="82">
        <v>12.65</v>
      </c>
    </row>
    <row r="82" spans="2:6" ht="12.95" customHeight="1" x14ac:dyDescent="0.25">
      <c r="B82" s="87" t="s">
        <v>1147</v>
      </c>
      <c r="C82" s="4" t="s">
        <v>210</v>
      </c>
      <c r="D82" s="95" t="s">
        <v>42</v>
      </c>
      <c r="E82" s="1" t="s">
        <v>1126</v>
      </c>
      <c r="F82" s="75">
        <v>13.59</v>
      </c>
    </row>
    <row r="83" spans="2:6" s="68" customFormat="1" ht="12.95" customHeight="1" x14ac:dyDescent="0.25">
      <c r="B83" s="87" t="s">
        <v>1147</v>
      </c>
      <c r="C83" s="4" t="s">
        <v>210</v>
      </c>
      <c r="D83" s="77" t="s">
        <v>23</v>
      </c>
      <c r="E83" s="82">
        <v>12</v>
      </c>
      <c r="F83" s="82">
        <v>1.22</v>
      </c>
    </row>
    <row r="84" spans="2:6" s="68" customFormat="1" ht="12.95" customHeight="1" x14ac:dyDescent="0.25">
      <c r="B84" s="87" t="s">
        <v>1147</v>
      </c>
      <c r="C84" s="4" t="s">
        <v>210</v>
      </c>
      <c r="D84" s="78" t="s">
        <v>24</v>
      </c>
      <c r="E84" s="82">
        <v>12</v>
      </c>
      <c r="F84" s="82">
        <v>6.58</v>
      </c>
    </row>
    <row r="85" spans="2:6" ht="12.95" customHeight="1" x14ac:dyDescent="0.25">
      <c r="B85" s="87" t="s">
        <v>1145</v>
      </c>
      <c r="C85" s="87">
        <v>3</v>
      </c>
      <c r="D85" s="82" t="s">
        <v>178</v>
      </c>
      <c r="E85" s="82">
        <v>11.7</v>
      </c>
      <c r="F85" s="82">
        <v>4.24</v>
      </c>
    </row>
    <row r="86" spans="2:6" ht="12.95" customHeight="1" x14ac:dyDescent="0.25">
      <c r="B86" s="87" t="s">
        <v>1145</v>
      </c>
      <c r="C86" s="50">
        <v>3</v>
      </c>
      <c r="D86" s="82" t="s">
        <v>896</v>
      </c>
      <c r="E86" s="82">
        <v>12</v>
      </c>
      <c r="F86" s="82">
        <v>5</v>
      </c>
    </row>
    <row r="87" spans="2:6" ht="12.95" customHeight="1" x14ac:dyDescent="0.25">
      <c r="B87" s="87" t="s">
        <v>1145</v>
      </c>
      <c r="C87" s="87">
        <v>3</v>
      </c>
      <c r="D87" s="82" t="s">
        <v>62</v>
      </c>
      <c r="E87" s="1">
        <v>11.7</v>
      </c>
      <c r="F87" s="82">
        <v>56.21</v>
      </c>
    </row>
    <row r="88" spans="2:6" ht="12.95" customHeight="1" x14ac:dyDescent="0.25">
      <c r="B88" s="87" t="s">
        <v>1145</v>
      </c>
      <c r="C88" s="4" t="s">
        <v>210</v>
      </c>
      <c r="D88" s="82" t="s">
        <v>62</v>
      </c>
      <c r="E88" s="1">
        <v>11.7</v>
      </c>
      <c r="F88" s="82">
        <v>1.85</v>
      </c>
    </row>
    <row r="89" spans="2:6" ht="12.95" customHeight="1" x14ac:dyDescent="0.25">
      <c r="B89" s="87" t="s">
        <v>1145</v>
      </c>
      <c r="C89" s="50">
        <v>3</v>
      </c>
      <c r="D89" s="82" t="s">
        <v>270</v>
      </c>
      <c r="E89" s="1">
        <v>12</v>
      </c>
      <c r="F89" s="1">
        <v>5.81</v>
      </c>
    </row>
    <row r="90" spans="2:6" s="68" customFormat="1" ht="12.95" customHeight="1" x14ac:dyDescent="0.25">
      <c r="B90" s="87" t="s">
        <v>1145</v>
      </c>
      <c r="C90" s="87">
        <v>3</v>
      </c>
      <c r="D90" s="82" t="s">
        <v>271</v>
      </c>
      <c r="E90" s="82">
        <v>12</v>
      </c>
      <c r="F90" s="82">
        <v>3.17</v>
      </c>
    </row>
    <row r="91" spans="2:6" s="68" customFormat="1" ht="12.95" customHeight="1" x14ac:dyDescent="0.25">
      <c r="B91" s="87" t="s">
        <v>1145</v>
      </c>
      <c r="C91" s="87">
        <v>3</v>
      </c>
      <c r="D91" s="82" t="s">
        <v>1083</v>
      </c>
      <c r="E91" s="82">
        <v>12</v>
      </c>
      <c r="F91" s="82">
        <v>6.62</v>
      </c>
    </row>
    <row r="92" spans="2:6" ht="12.95" customHeight="1" x14ac:dyDescent="0.25">
      <c r="B92" s="87" t="s">
        <v>1145</v>
      </c>
      <c r="C92" s="87">
        <v>3</v>
      </c>
      <c r="D92" s="82" t="s">
        <v>1084</v>
      </c>
      <c r="E92" s="1">
        <v>12</v>
      </c>
      <c r="F92" s="1">
        <v>11.52</v>
      </c>
    </row>
    <row r="93" spans="2:6" ht="12.95" customHeight="1" x14ac:dyDescent="0.25">
      <c r="B93" s="87" t="s">
        <v>1145</v>
      </c>
      <c r="C93" s="4" t="s">
        <v>210</v>
      </c>
      <c r="D93" s="82" t="s">
        <v>1084</v>
      </c>
      <c r="E93" s="1">
        <v>12</v>
      </c>
      <c r="F93" s="82">
        <v>0.56000000000000005</v>
      </c>
    </row>
    <row r="94" spans="2:6" ht="12.95" customHeight="1" x14ac:dyDescent="0.25">
      <c r="B94" s="87" t="s">
        <v>1145</v>
      </c>
      <c r="C94" s="87" t="s">
        <v>885</v>
      </c>
      <c r="D94" s="82" t="s">
        <v>5165</v>
      </c>
      <c r="E94" s="1">
        <v>12</v>
      </c>
      <c r="F94" s="1">
        <v>1.8</v>
      </c>
    </row>
    <row r="95" spans="2:6" ht="12.95" customHeight="1" x14ac:dyDescent="0.25">
      <c r="B95" s="87" t="s">
        <v>1145</v>
      </c>
      <c r="C95" s="4" t="s">
        <v>210</v>
      </c>
      <c r="D95" s="82" t="s">
        <v>272</v>
      </c>
      <c r="E95" s="1">
        <v>12</v>
      </c>
      <c r="F95" s="1">
        <v>13.02</v>
      </c>
    </row>
    <row r="96" spans="2:6" s="66" customFormat="1" ht="12.95" customHeight="1" x14ac:dyDescent="0.25">
      <c r="B96" s="87" t="s">
        <v>1145</v>
      </c>
      <c r="C96" s="87" t="s">
        <v>856</v>
      </c>
      <c r="D96" s="82" t="s">
        <v>272</v>
      </c>
      <c r="E96" s="82">
        <v>12</v>
      </c>
      <c r="F96" s="82">
        <v>19.5</v>
      </c>
    </row>
    <row r="97" spans="2:6" s="66" customFormat="1" ht="12.95" customHeight="1" x14ac:dyDescent="0.25">
      <c r="B97" s="87" t="s">
        <v>1145</v>
      </c>
      <c r="C97" s="87">
        <v>3</v>
      </c>
      <c r="D97" s="14" t="s">
        <v>50</v>
      </c>
      <c r="E97" s="82">
        <v>12</v>
      </c>
      <c r="F97" s="82">
        <v>8.64</v>
      </c>
    </row>
    <row r="98" spans="2:6" s="66" customFormat="1" ht="12.95" customHeight="1" x14ac:dyDescent="0.25">
      <c r="B98" s="87" t="s">
        <v>1145</v>
      </c>
      <c r="C98" s="4" t="s">
        <v>210</v>
      </c>
      <c r="D98" s="14" t="s">
        <v>272</v>
      </c>
      <c r="E98" s="82">
        <v>12</v>
      </c>
      <c r="F98" s="82">
        <v>29.79</v>
      </c>
    </row>
    <row r="99" spans="2:6" s="66" customFormat="1" ht="12.95" customHeight="1" x14ac:dyDescent="0.25">
      <c r="B99" s="87" t="s">
        <v>1145</v>
      </c>
      <c r="C99" s="87">
        <v>3</v>
      </c>
      <c r="D99" s="14" t="s">
        <v>1094</v>
      </c>
      <c r="E99" s="82">
        <v>12</v>
      </c>
      <c r="F99" s="82">
        <v>8.16</v>
      </c>
    </row>
    <row r="100" spans="2:6" s="66" customFormat="1" ht="12.95" customHeight="1" x14ac:dyDescent="0.25">
      <c r="B100" s="87" t="s">
        <v>1145</v>
      </c>
      <c r="C100" s="4" t="s">
        <v>210</v>
      </c>
      <c r="D100" s="14" t="s">
        <v>1129</v>
      </c>
      <c r="E100" s="82">
        <v>11.5</v>
      </c>
      <c r="F100" s="82">
        <v>0.57999999999999996</v>
      </c>
    </row>
    <row r="101" spans="2:6" s="66" customFormat="1" ht="12.95" customHeight="1" x14ac:dyDescent="0.25">
      <c r="B101" s="87" t="s">
        <v>1146</v>
      </c>
      <c r="C101" s="87">
        <v>3</v>
      </c>
      <c r="D101" s="88" t="s">
        <v>43</v>
      </c>
      <c r="E101" s="82" t="s">
        <v>179</v>
      </c>
      <c r="F101" s="82">
        <v>0.39</v>
      </c>
    </row>
    <row r="102" spans="2:6" s="66" customFormat="1" ht="12.95" customHeight="1" x14ac:dyDescent="0.25">
      <c r="B102" s="87" t="s">
        <v>1146</v>
      </c>
      <c r="C102" s="4" t="s">
        <v>210</v>
      </c>
      <c r="D102" s="101" t="s">
        <v>43</v>
      </c>
      <c r="E102" s="4">
        <v>12</v>
      </c>
      <c r="F102" s="99">
        <v>17.5</v>
      </c>
    </row>
    <row r="103" spans="2:6" s="66" customFormat="1" ht="12.95" customHeight="1" x14ac:dyDescent="0.25">
      <c r="B103" s="87" t="s">
        <v>1146</v>
      </c>
      <c r="C103" s="4" t="s">
        <v>210</v>
      </c>
      <c r="D103" s="101" t="s">
        <v>1125</v>
      </c>
      <c r="E103" s="4">
        <v>12</v>
      </c>
      <c r="F103" s="99">
        <v>10.34</v>
      </c>
    </row>
    <row r="104" spans="2:6" s="66" customFormat="1" ht="12.95" customHeight="1" x14ac:dyDescent="0.25">
      <c r="B104" s="87" t="s">
        <v>1146</v>
      </c>
      <c r="C104" s="4" t="s">
        <v>210</v>
      </c>
      <c r="D104" s="101" t="s">
        <v>148</v>
      </c>
      <c r="E104" s="4">
        <v>12</v>
      </c>
      <c r="F104" s="99">
        <v>3.75</v>
      </c>
    </row>
    <row r="105" spans="2:6" s="66" customFormat="1" ht="12.95" customHeight="1" x14ac:dyDescent="0.25">
      <c r="B105" s="87" t="s">
        <v>1146</v>
      </c>
      <c r="C105" s="4" t="s">
        <v>210</v>
      </c>
      <c r="D105" s="101" t="s">
        <v>727</v>
      </c>
      <c r="E105" s="4">
        <v>12</v>
      </c>
      <c r="F105" s="99">
        <v>9.92</v>
      </c>
    </row>
    <row r="106" spans="2:6" s="66" customFormat="1" ht="12.95" customHeight="1" x14ac:dyDescent="0.25">
      <c r="B106" s="87" t="s">
        <v>1146</v>
      </c>
      <c r="C106" s="87">
        <v>3</v>
      </c>
      <c r="D106" s="101" t="s">
        <v>204</v>
      </c>
      <c r="E106" s="4" t="s">
        <v>206</v>
      </c>
      <c r="F106" s="99">
        <v>1.52</v>
      </c>
    </row>
    <row r="107" spans="2:6" s="66" customFormat="1" ht="12.95" customHeight="1" x14ac:dyDescent="0.25">
      <c r="B107" s="87" t="s">
        <v>1146</v>
      </c>
      <c r="C107" s="87">
        <v>3</v>
      </c>
      <c r="D107" s="101" t="s">
        <v>205</v>
      </c>
      <c r="E107" s="4" t="s">
        <v>206</v>
      </c>
      <c r="F107" s="99">
        <v>5.21</v>
      </c>
    </row>
    <row r="108" spans="2:6" s="66" customFormat="1" ht="12.95" customHeight="1" x14ac:dyDescent="0.25">
      <c r="B108" s="87" t="s">
        <v>1146</v>
      </c>
      <c r="C108" s="87">
        <v>3</v>
      </c>
      <c r="D108" s="101" t="s">
        <v>207</v>
      </c>
      <c r="E108" s="4" t="s">
        <v>208</v>
      </c>
      <c r="F108" s="99">
        <v>0.4</v>
      </c>
    </row>
  </sheetData>
  <autoFilter ref="B4:F108">
    <sortState ref="B5:I108">
      <sortCondition ref="B4"/>
    </sortState>
  </autoFilter>
  <mergeCells count="2">
    <mergeCell ref="B3:F3"/>
    <mergeCell ref="B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084"/>
  <sheetViews>
    <sheetView zoomScale="160" zoomScaleNormal="160" workbookViewId="0">
      <selection activeCell="E6" sqref="E6"/>
    </sheetView>
  </sheetViews>
  <sheetFormatPr defaultRowHeight="12.75" x14ac:dyDescent="0.2"/>
  <cols>
    <col min="1" max="1" width="5.85546875" style="68" customWidth="1"/>
    <col min="2" max="2" width="14.28515625" style="108" bestFit="1" customWidth="1"/>
    <col min="3" max="3" width="27.7109375" style="108" bestFit="1" customWidth="1"/>
    <col min="4" max="4" width="52.85546875" style="108" bestFit="1" customWidth="1"/>
    <col min="5" max="5" width="11.42578125" style="20" bestFit="1" customWidth="1"/>
    <col min="6" max="6" width="10.7109375" style="20" customWidth="1"/>
    <col min="7" max="16384" width="9.140625" style="68"/>
  </cols>
  <sheetData>
    <row r="1" spans="1:6" s="67" customFormat="1" ht="38.25" customHeight="1" x14ac:dyDescent="0.25">
      <c r="B1" s="302" t="s">
        <v>19</v>
      </c>
      <c r="C1" s="303"/>
      <c r="D1" s="303"/>
      <c r="E1" s="303"/>
      <c r="F1" s="303"/>
    </row>
    <row r="2" spans="1:6" s="67" customFormat="1" ht="1.5" customHeight="1" x14ac:dyDescent="0.2">
      <c r="B2" s="169"/>
      <c r="C2" s="69"/>
      <c r="D2" s="69"/>
      <c r="E2" s="70"/>
      <c r="F2" s="70"/>
    </row>
    <row r="3" spans="1:6" s="67" customFormat="1" ht="41.25" customHeight="1" x14ac:dyDescent="0.25">
      <c r="B3" s="300" t="s">
        <v>724</v>
      </c>
      <c r="C3" s="301"/>
      <c r="D3" s="301"/>
      <c r="E3" s="301"/>
      <c r="F3" s="301"/>
    </row>
    <row r="4" spans="1:6" x14ac:dyDescent="0.2">
      <c r="B4" s="73" t="s">
        <v>349</v>
      </c>
      <c r="C4" s="170" t="s">
        <v>21</v>
      </c>
      <c r="D4" s="72" t="s">
        <v>0</v>
      </c>
      <c r="E4" s="73" t="s">
        <v>1</v>
      </c>
      <c r="F4" s="73" t="s">
        <v>2</v>
      </c>
    </row>
    <row r="5" spans="1:6" x14ac:dyDescent="0.2">
      <c r="B5" s="52" t="s">
        <v>635</v>
      </c>
      <c r="C5" s="171">
        <v>45</v>
      </c>
      <c r="D5" s="53" t="s">
        <v>355</v>
      </c>
      <c r="E5" s="52" t="s">
        <v>636</v>
      </c>
      <c r="F5" s="54">
        <v>33.945</v>
      </c>
    </row>
    <row r="6" spans="1:6" s="35" customFormat="1" x14ac:dyDescent="0.2">
      <c r="A6" s="68"/>
      <c r="B6" s="101" t="s">
        <v>2434</v>
      </c>
      <c r="C6" s="30" t="s">
        <v>706</v>
      </c>
      <c r="D6" s="101">
        <v>8</v>
      </c>
      <c r="E6" s="25"/>
      <c r="F6" s="99">
        <f>1.94-0.015</f>
        <v>1.925</v>
      </c>
    </row>
    <row r="7" spans="1:6" s="35" customFormat="1" x14ac:dyDescent="0.2">
      <c r="A7" s="68"/>
      <c r="B7" s="2" t="s">
        <v>131</v>
      </c>
      <c r="C7" s="172">
        <v>20</v>
      </c>
      <c r="D7" s="78" t="s">
        <v>135</v>
      </c>
      <c r="E7" s="5"/>
      <c r="F7" s="39">
        <v>7.4999999999999997E-2</v>
      </c>
    </row>
    <row r="8" spans="1:6" s="35" customFormat="1" ht="14.25" customHeight="1" x14ac:dyDescent="0.2">
      <c r="A8" s="68"/>
      <c r="B8" s="2" t="s">
        <v>131</v>
      </c>
      <c r="C8" s="172">
        <v>20</v>
      </c>
      <c r="D8" s="78" t="s">
        <v>138</v>
      </c>
      <c r="E8" s="5"/>
      <c r="F8" s="39">
        <v>8.5000000000000006E-2</v>
      </c>
    </row>
    <row r="9" spans="1:6" x14ac:dyDescent="0.2">
      <c r="B9" s="2" t="s">
        <v>131</v>
      </c>
      <c r="C9" s="172">
        <v>20</v>
      </c>
      <c r="D9" s="78" t="s">
        <v>139</v>
      </c>
      <c r="E9" s="5"/>
      <c r="F9" s="39">
        <v>0.32</v>
      </c>
    </row>
    <row r="10" spans="1:6" x14ac:dyDescent="0.2">
      <c r="B10" s="2" t="s">
        <v>131</v>
      </c>
      <c r="C10" s="172">
        <v>20</v>
      </c>
      <c r="D10" s="78" t="s">
        <v>139</v>
      </c>
      <c r="E10" s="5"/>
      <c r="F10" s="39">
        <v>0.44500000000000001</v>
      </c>
    </row>
    <row r="11" spans="1:6" x14ac:dyDescent="0.2">
      <c r="B11" s="2" t="s">
        <v>131</v>
      </c>
      <c r="C11" s="172">
        <v>30</v>
      </c>
      <c r="D11" s="78" t="s">
        <v>138</v>
      </c>
      <c r="E11" s="5"/>
      <c r="F11" s="39">
        <v>0.40500000000000003</v>
      </c>
    </row>
    <row r="12" spans="1:6" s="35" customFormat="1" x14ac:dyDescent="0.2">
      <c r="A12" s="68"/>
      <c r="B12" s="2" t="s">
        <v>131</v>
      </c>
      <c r="C12" s="172">
        <v>45</v>
      </c>
      <c r="D12" s="78" t="s">
        <v>133</v>
      </c>
      <c r="E12" s="5"/>
      <c r="F12" s="39">
        <v>0.51</v>
      </c>
    </row>
    <row r="13" spans="1:6" s="35" customFormat="1" x14ac:dyDescent="0.2">
      <c r="A13" s="68"/>
      <c r="B13" s="2" t="s">
        <v>131</v>
      </c>
      <c r="C13" s="172">
        <v>45</v>
      </c>
      <c r="D13" s="78" t="s">
        <v>137</v>
      </c>
      <c r="E13" s="5"/>
      <c r="F13" s="39">
        <v>0.17499999999999999</v>
      </c>
    </row>
    <row r="14" spans="1:6" s="35" customFormat="1" x14ac:dyDescent="0.2">
      <c r="A14" s="68"/>
      <c r="B14" s="2" t="s">
        <v>131</v>
      </c>
      <c r="C14" s="172">
        <v>45</v>
      </c>
      <c r="D14" s="78" t="s">
        <v>136</v>
      </c>
      <c r="E14" s="5"/>
      <c r="F14" s="39">
        <v>0.12</v>
      </c>
    </row>
    <row r="15" spans="1:6" s="35" customFormat="1" x14ac:dyDescent="0.2">
      <c r="A15" s="68"/>
      <c r="B15" s="2" t="s">
        <v>131</v>
      </c>
      <c r="C15" s="172" t="s">
        <v>683</v>
      </c>
      <c r="D15" s="78" t="s">
        <v>132</v>
      </c>
      <c r="E15" s="5"/>
      <c r="F15" s="39">
        <v>2.2749999999999999</v>
      </c>
    </row>
    <row r="16" spans="1:6" s="35" customFormat="1" x14ac:dyDescent="0.2">
      <c r="A16" s="68"/>
      <c r="B16" s="2" t="s">
        <v>131</v>
      </c>
      <c r="C16" s="172" t="s">
        <v>402</v>
      </c>
      <c r="D16" s="78" t="s">
        <v>134</v>
      </c>
      <c r="E16" s="5"/>
      <c r="F16" s="39">
        <v>1.23</v>
      </c>
    </row>
    <row r="17" spans="1:6" s="35" customFormat="1" x14ac:dyDescent="0.2">
      <c r="A17" s="68"/>
      <c r="B17" s="2" t="s">
        <v>131</v>
      </c>
      <c r="C17" s="172" t="s">
        <v>217</v>
      </c>
      <c r="D17" s="78" t="s">
        <v>140</v>
      </c>
      <c r="E17" s="5"/>
      <c r="F17" s="39">
        <v>0.79</v>
      </c>
    </row>
    <row r="18" spans="1:6" s="35" customFormat="1" x14ac:dyDescent="0.2">
      <c r="A18" s="68"/>
      <c r="B18" s="2" t="s">
        <v>131</v>
      </c>
      <c r="C18" s="172" t="s">
        <v>367</v>
      </c>
      <c r="D18" s="78" t="s">
        <v>140</v>
      </c>
      <c r="E18" s="5"/>
      <c r="F18" s="39">
        <v>0.61</v>
      </c>
    </row>
    <row r="19" spans="1:6" s="35" customFormat="1" x14ac:dyDescent="0.2">
      <c r="A19" s="68"/>
      <c r="B19" s="2" t="s">
        <v>131</v>
      </c>
      <c r="C19" s="172" t="s">
        <v>367</v>
      </c>
      <c r="D19" s="78" t="s">
        <v>141</v>
      </c>
      <c r="E19" s="5"/>
      <c r="F19" s="39">
        <v>0.59499999999999997</v>
      </c>
    </row>
    <row r="20" spans="1:6" s="35" customFormat="1" x14ac:dyDescent="0.2">
      <c r="A20" s="68"/>
      <c r="B20" s="2" t="s">
        <v>131</v>
      </c>
      <c r="C20" s="172" t="s">
        <v>684</v>
      </c>
      <c r="D20" s="78" t="s">
        <v>140</v>
      </c>
      <c r="E20" s="5"/>
      <c r="F20" s="39">
        <v>0.28999999999999998</v>
      </c>
    </row>
    <row r="21" spans="1:6" s="35" customFormat="1" x14ac:dyDescent="0.2">
      <c r="A21" s="68"/>
      <c r="B21" s="101" t="s">
        <v>350</v>
      </c>
      <c r="C21" s="30">
        <v>3</v>
      </c>
      <c r="D21" s="101" t="s">
        <v>343</v>
      </c>
      <c r="E21" s="25"/>
      <c r="F21" s="99">
        <v>0.69</v>
      </c>
    </row>
    <row r="22" spans="1:6" x14ac:dyDescent="0.2">
      <c r="B22" s="101" t="s">
        <v>350</v>
      </c>
      <c r="C22" s="30">
        <v>20</v>
      </c>
      <c r="D22" s="101" t="s">
        <v>2437</v>
      </c>
      <c r="E22" s="25"/>
      <c r="F22" s="99">
        <f>0.09-0.04</f>
        <v>4.9999999999999996E-2</v>
      </c>
    </row>
    <row r="23" spans="1:6" s="35" customFormat="1" x14ac:dyDescent="0.2">
      <c r="A23" s="68"/>
      <c r="B23" s="101" t="s">
        <v>350</v>
      </c>
      <c r="C23" s="30">
        <v>20</v>
      </c>
      <c r="D23" s="101" t="s">
        <v>2438</v>
      </c>
      <c r="E23" s="25"/>
      <c r="F23" s="99">
        <v>0.98</v>
      </c>
    </row>
    <row r="24" spans="1:6" x14ac:dyDescent="0.2">
      <c r="B24" s="101" t="s">
        <v>350</v>
      </c>
      <c r="C24" s="30">
        <v>20</v>
      </c>
      <c r="D24" s="101" t="s">
        <v>2440</v>
      </c>
      <c r="E24" s="25"/>
      <c r="F24" s="99">
        <v>0.05</v>
      </c>
    </row>
    <row r="25" spans="1:6" x14ac:dyDescent="0.2">
      <c r="B25" s="101" t="s">
        <v>350</v>
      </c>
      <c r="C25" s="30">
        <v>20</v>
      </c>
      <c r="D25" s="101" t="s">
        <v>343</v>
      </c>
      <c r="E25" s="25"/>
      <c r="F25" s="99">
        <v>0.1</v>
      </c>
    </row>
    <row r="26" spans="1:6" x14ac:dyDescent="0.2">
      <c r="B26" s="101" t="s">
        <v>350</v>
      </c>
      <c r="C26" s="30">
        <v>35</v>
      </c>
      <c r="D26" s="101" t="s">
        <v>2438</v>
      </c>
      <c r="E26" s="25"/>
      <c r="F26" s="99">
        <v>1.17</v>
      </c>
    </row>
    <row r="27" spans="1:6" x14ac:dyDescent="0.2">
      <c r="B27" s="30" t="s">
        <v>350</v>
      </c>
      <c r="C27" s="30">
        <v>45</v>
      </c>
      <c r="D27" s="30" t="s">
        <v>342</v>
      </c>
      <c r="E27" s="101"/>
      <c r="F27" s="99">
        <f>4.85-0.018-0.5-0.072-2.01-0.49-0.4-0.05-0.29-0.165-0.2</f>
        <v>0.6549999999999998</v>
      </c>
    </row>
    <row r="28" spans="1:6" x14ac:dyDescent="0.2">
      <c r="B28" s="30" t="s">
        <v>350</v>
      </c>
      <c r="C28" s="30">
        <v>45</v>
      </c>
      <c r="D28" s="30" t="s">
        <v>343</v>
      </c>
      <c r="E28" s="101"/>
      <c r="F28" s="99">
        <f>5.43-0.02-0.2-0.034-0.192-0.38</f>
        <v>4.6040000000000001</v>
      </c>
    </row>
    <row r="29" spans="1:6" x14ac:dyDescent="0.2">
      <c r="B29" s="30" t="s">
        <v>350</v>
      </c>
      <c r="C29" s="30">
        <v>45</v>
      </c>
      <c r="D29" s="30" t="s">
        <v>344</v>
      </c>
      <c r="E29" s="101"/>
      <c r="F29" s="99">
        <f>0.385+0.385+0.385-0.385-0.374-0.13</f>
        <v>0.26600000000000001</v>
      </c>
    </row>
    <row r="30" spans="1:6" x14ac:dyDescent="0.2">
      <c r="B30" s="30" t="s">
        <v>350</v>
      </c>
      <c r="C30" s="30">
        <v>45</v>
      </c>
      <c r="D30" s="30" t="s">
        <v>345</v>
      </c>
      <c r="E30" s="101"/>
      <c r="F30" s="99">
        <v>0.47</v>
      </c>
    </row>
    <row r="31" spans="1:6" x14ac:dyDescent="0.2">
      <c r="B31" s="30" t="s">
        <v>350</v>
      </c>
      <c r="C31" s="30">
        <v>45</v>
      </c>
      <c r="D31" s="30" t="s">
        <v>346</v>
      </c>
      <c r="E31" s="101"/>
      <c r="F31" s="99">
        <f>1.49-1.098</f>
        <v>0.3919999999999999</v>
      </c>
    </row>
    <row r="32" spans="1:6" x14ac:dyDescent="0.2">
      <c r="B32" s="30" t="s">
        <v>350</v>
      </c>
      <c r="C32" s="30">
        <v>70</v>
      </c>
      <c r="D32" s="30" t="s">
        <v>327</v>
      </c>
      <c r="E32" s="101"/>
      <c r="F32" s="99">
        <f>0.945</f>
        <v>0.94499999999999995</v>
      </c>
    </row>
    <row r="33" spans="2:6" x14ac:dyDescent="0.2">
      <c r="B33" s="101" t="s">
        <v>350</v>
      </c>
      <c r="C33" s="30" t="s">
        <v>1611</v>
      </c>
      <c r="D33" s="101" t="s">
        <v>338</v>
      </c>
      <c r="E33" s="25"/>
      <c r="F33" s="99">
        <f>0.5+0.5</f>
        <v>1</v>
      </c>
    </row>
    <row r="34" spans="2:6" x14ac:dyDescent="0.2">
      <c r="B34" s="30" t="s">
        <v>350</v>
      </c>
      <c r="C34" s="30" t="s">
        <v>337</v>
      </c>
      <c r="D34" s="30" t="s">
        <v>338</v>
      </c>
      <c r="E34" s="101"/>
      <c r="F34" s="99">
        <f>0.194+0.198+0.194+0.194+0.194+0.198+0.2+0.2-0.198-0.2-0.194-0.2-0.194-0.022-(0.032)-0.064</f>
        <v>0.46800000000000003</v>
      </c>
    </row>
    <row r="35" spans="2:6" x14ac:dyDescent="0.2">
      <c r="B35" s="101" t="s">
        <v>350</v>
      </c>
      <c r="C35" s="30" t="s">
        <v>697</v>
      </c>
      <c r="D35" s="101" t="s">
        <v>324</v>
      </c>
      <c r="E35" s="183"/>
      <c r="F35" s="99">
        <f>0.97-0.325</f>
        <v>0.64500000000000002</v>
      </c>
    </row>
    <row r="36" spans="2:6" x14ac:dyDescent="0.2">
      <c r="B36" s="101" t="s">
        <v>350</v>
      </c>
      <c r="C36" s="30" t="s">
        <v>637</v>
      </c>
      <c r="D36" s="101" t="s">
        <v>2439</v>
      </c>
      <c r="E36" s="25"/>
      <c r="F36" s="99">
        <v>0.02</v>
      </c>
    </row>
    <row r="37" spans="2:6" x14ac:dyDescent="0.2">
      <c r="B37" s="101" t="s">
        <v>350</v>
      </c>
      <c r="C37" s="30" t="s">
        <v>1613</v>
      </c>
      <c r="D37" s="101" t="s">
        <v>338</v>
      </c>
      <c r="E37" s="25"/>
      <c r="F37" s="99">
        <f>0.43+0.42</f>
        <v>0.85</v>
      </c>
    </row>
    <row r="38" spans="2:6" x14ac:dyDescent="0.2">
      <c r="B38" s="101" t="s">
        <v>350</v>
      </c>
      <c r="C38" s="30" t="s">
        <v>403</v>
      </c>
      <c r="D38" s="101" t="s">
        <v>327</v>
      </c>
      <c r="E38" s="183"/>
      <c r="F38" s="99">
        <v>2.97</v>
      </c>
    </row>
    <row r="39" spans="2:6" x14ac:dyDescent="0.2">
      <c r="B39" s="101" t="s">
        <v>350</v>
      </c>
      <c r="C39" s="30" t="s">
        <v>1634</v>
      </c>
      <c r="D39" s="101" t="s">
        <v>501</v>
      </c>
      <c r="E39" s="183"/>
      <c r="F39" s="99">
        <v>0.15</v>
      </c>
    </row>
    <row r="40" spans="2:6" x14ac:dyDescent="0.2">
      <c r="B40" s="30" t="s">
        <v>350</v>
      </c>
      <c r="C40" s="30" t="s">
        <v>306</v>
      </c>
      <c r="D40" s="30" t="s">
        <v>339</v>
      </c>
      <c r="E40" s="101"/>
      <c r="F40" s="34">
        <f>0.386+0.388+0.394+0.394+0.4-0.792-0.388+(0.386)-0.394</f>
        <v>0.77400000000000013</v>
      </c>
    </row>
    <row r="41" spans="2:6" x14ac:dyDescent="0.2">
      <c r="B41" s="30" t="s">
        <v>350</v>
      </c>
      <c r="C41" s="30" t="s">
        <v>217</v>
      </c>
      <c r="D41" s="30" t="s">
        <v>341</v>
      </c>
      <c r="E41" s="101"/>
      <c r="F41" s="99">
        <v>0.53</v>
      </c>
    </row>
    <row r="42" spans="2:6" x14ac:dyDescent="0.2">
      <c r="B42" s="4" t="s">
        <v>350</v>
      </c>
      <c r="C42" s="173" t="s">
        <v>492</v>
      </c>
      <c r="D42" s="15" t="s">
        <v>324</v>
      </c>
      <c r="E42" s="4" t="s">
        <v>303</v>
      </c>
      <c r="F42" s="38">
        <v>4.67</v>
      </c>
    </row>
    <row r="43" spans="2:6" x14ac:dyDescent="0.2">
      <c r="B43" s="101" t="s">
        <v>350</v>
      </c>
      <c r="C43" s="30" t="s">
        <v>1604</v>
      </c>
      <c r="D43" s="101" t="s">
        <v>2441</v>
      </c>
      <c r="E43" s="183"/>
      <c r="F43" s="99">
        <f>8.16-0.43-0.43-0.43-0.21-1.69-0.84-0.3-1.14</f>
        <v>2.6900000000000013</v>
      </c>
    </row>
    <row r="44" spans="2:6" x14ac:dyDescent="0.2">
      <c r="B44" s="30" t="s">
        <v>350</v>
      </c>
      <c r="C44" s="30" t="s">
        <v>688</v>
      </c>
      <c r="D44" s="30" t="s">
        <v>347</v>
      </c>
      <c r="E44" s="101"/>
      <c r="F44" s="99">
        <v>0.745</v>
      </c>
    </row>
    <row r="45" spans="2:6" x14ac:dyDescent="0.2">
      <c r="B45" s="30" t="s">
        <v>350</v>
      </c>
      <c r="C45" s="30" t="s">
        <v>323</v>
      </c>
      <c r="D45" s="30" t="s">
        <v>324</v>
      </c>
      <c r="E45" s="101">
        <v>2.59</v>
      </c>
      <c r="F45" s="99">
        <f>0.438+0.53+0.438+0.53-0.53-0.53-0.438</f>
        <v>0.43799999999999989</v>
      </c>
    </row>
    <row r="46" spans="2:6" x14ac:dyDescent="0.2">
      <c r="B46" s="30" t="s">
        <v>350</v>
      </c>
      <c r="C46" s="30" t="s">
        <v>686</v>
      </c>
      <c r="D46" s="30" t="s">
        <v>325</v>
      </c>
      <c r="E46" s="101"/>
      <c r="F46" s="34">
        <f>(0.082)</f>
        <v>8.2000000000000003E-2</v>
      </c>
    </row>
    <row r="47" spans="2:6" x14ac:dyDescent="0.2">
      <c r="B47" s="30" t="s">
        <v>350</v>
      </c>
      <c r="C47" s="30" t="s">
        <v>687</v>
      </c>
      <c r="D47" s="30" t="s">
        <v>330</v>
      </c>
      <c r="E47" s="101"/>
      <c r="F47" s="34">
        <v>2.2480000000000002</v>
      </c>
    </row>
    <row r="48" spans="2:6" x14ac:dyDescent="0.2">
      <c r="B48" s="101" t="s">
        <v>350</v>
      </c>
      <c r="C48" s="30" t="s">
        <v>1622</v>
      </c>
      <c r="D48" s="101" t="s">
        <v>325</v>
      </c>
      <c r="E48" s="25"/>
      <c r="F48" s="99">
        <f>7.9-0.81</f>
        <v>7.09</v>
      </c>
    </row>
    <row r="49" spans="2:6" x14ac:dyDescent="0.2">
      <c r="B49" s="30" t="s">
        <v>350</v>
      </c>
      <c r="C49" s="30" t="s">
        <v>389</v>
      </c>
      <c r="D49" s="30" t="s">
        <v>327</v>
      </c>
      <c r="E49" s="101"/>
      <c r="F49" s="34">
        <f>0.348</f>
        <v>0.34799999999999998</v>
      </c>
    </row>
    <row r="50" spans="2:6" x14ac:dyDescent="0.2">
      <c r="B50" s="4" t="s">
        <v>350</v>
      </c>
      <c r="C50" s="173" t="s">
        <v>685</v>
      </c>
      <c r="D50" s="15" t="s">
        <v>348</v>
      </c>
      <c r="E50" s="4" t="s">
        <v>304</v>
      </c>
      <c r="F50" s="38">
        <v>2.25</v>
      </c>
    </row>
    <row r="51" spans="2:6" x14ac:dyDescent="0.2">
      <c r="B51" s="4" t="s">
        <v>350</v>
      </c>
      <c r="C51" s="173" t="s">
        <v>685</v>
      </c>
      <c r="D51" s="15" t="s">
        <v>327</v>
      </c>
      <c r="E51" s="4">
        <v>2.8</v>
      </c>
      <c r="F51" s="38">
        <v>0.88</v>
      </c>
    </row>
    <row r="52" spans="2:6" x14ac:dyDescent="0.2">
      <c r="B52" s="30" t="s">
        <v>350</v>
      </c>
      <c r="C52" s="30" t="s">
        <v>371</v>
      </c>
      <c r="D52" s="30" t="s">
        <v>325</v>
      </c>
      <c r="E52" s="101"/>
      <c r="F52" s="180"/>
    </row>
    <row r="53" spans="2:6" x14ac:dyDescent="0.2">
      <c r="B53" s="4" t="s">
        <v>350</v>
      </c>
      <c r="C53" s="173" t="s">
        <v>373</v>
      </c>
      <c r="D53" s="15" t="s">
        <v>324</v>
      </c>
      <c r="E53" s="4">
        <v>2</v>
      </c>
      <c r="F53" s="38">
        <v>1.33</v>
      </c>
    </row>
    <row r="54" spans="2:6" x14ac:dyDescent="0.2">
      <c r="B54" s="4" t="s">
        <v>350</v>
      </c>
      <c r="C54" s="173" t="s">
        <v>376</v>
      </c>
      <c r="D54" s="15" t="s">
        <v>325</v>
      </c>
      <c r="E54" s="4">
        <v>0.5</v>
      </c>
      <c r="F54" s="38">
        <v>0.1</v>
      </c>
    </row>
    <row r="55" spans="2:6" x14ac:dyDescent="0.2">
      <c r="B55" s="167" t="s">
        <v>350</v>
      </c>
      <c r="C55" s="30" t="s">
        <v>333</v>
      </c>
      <c r="D55" s="167" t="s">
        <v>334</v>
      </c>
      <c r="E55" s="106"/>
      <c r="F55" s="181">
        <f>0.034+(0.006)-0.004</f>
        <v>3.6000000000000004E-2</v>
      </c>
    </row>
    <row r="56" spans="2:6" x14ac:dyDescent="0.2">
      <c r="B56" s="167" t="s">
        <v>350</v>
      </c>
      <c r="C56" s="30" t="s">
        <v>333</v>
      </c>
      <c r="D56" s="167" t="s">
        <v>335</v>
      </c>
      <c r="E56" s="106"/>
      <c r="F56" s="181">
        <f>0.136-0.004</f>
        <v>0.13200000000000001</v>
      </c>
    </row>
    <row r="57" spans="2:6" x14ac:dyDescent="0.2">
      <c r="B57" s="30" t="s">
        <v>350</v>
      </c>
      <c r="C57" s="30" t="s">
        <v>333</v>
      </c>
      <c r="D57" s="30" t="s">
        <v>336</v>
      </c>
      <c r="E57" s="101"/>
      <c r="F57" s="34">
        <f>0.024-0.006-0.008</f>
        <v>1.0000000000000002E-2</v>
      </c>
    </row>
    <row r="58" spans="2:6" x14ac:dyDescent="0.2">
      <c r="B58" s="30" t="s">
        <v>350</v>
      </c>
      <c r="C58" s="30" t="s">
        <v>392</v>
      </c>
      <c r="D58" s="30" t="s">
        <v>335</v>
      </c>
      <c r="E58" s="101"/>
      <c r="F58" s="99">
        <v>5.6000000000000001E-2</v>
      </c>
    </row>
    <row r="59" spans="2:6" x14ac:dyDescent="0.2">
      <c r="B59" s="101" t="s">
        <v>350</v>
      </c>
      <c r="C59" s="30" t="s">
        <v>1620</v>
      </c>
      <c r="D59" s="101" t="s">
        <v>324</v>
      </c>
      <c r="E59" s="25"/>
      <c r="F59" s="99">
        <f>0.485+0.5</f>
        <v>0.98499999999999999</v>
      </c>
    </row>
    <row r="60" spans="2:6" x14ac:dyDescent="0.25">
      <c r="B60" s="2" t="s">
        <v>350</v>
      </c>
      <c r="C60" s="2" t="s">
        <v>356</v>
      </c>
      <c r="D60" s="78" t="s">
        <v>128</v>
      </c>
      <c r="E60" s="5" t="s">
        <v>125</v>
      </c>
      <c r="F60" s="39">
        <v>1.1519999999999999</v>
      </c>
    </row>
    <row r="61" spans="2:6" x14ac:dyDescent="0.2">
      <c r="B61" s="4" t="s">
        <v>350</v>
      </c>
      <c r="C61" s="172" t="s">
        <v>356</v>
      </c>
      <c r="D61" s="78" t="s">
        <v>129</v>
      </c>
      <c r="E61" s="5" t="s">
        <v>126</v>
      </c>
      <c r="F61" s="39">
        <v>2.3780000000000001</v>
      </c>
    </row>
    <row r="62" spans="2:6" x14ac:dyDescent="0.2">
      <c r="B62" s="4" t="s">
        <v>350</v>
      </c>
      <c r="C62" s="172" t="s">
        <v>356</v>
      </c>
      <c r="D62" s="78" t="s">
        <v>130</v>
      </c>
      <c r="E62" s="5" t="s">
        <v>127</v>
      </c>
      <c r="F62" s="39">
        <v>0.35</v>
      </c>
    </row>
    <row r="63" spans="2:6" x14ac:dyDescent="0.2">
      <c r="B63" s="30" t="s">
        <v>350</v>
      </c>
      <c r="C63" s="30" t="s">
        <v>328</v>
      </c>
      <c r="D63" s="30" t="s">
        <v>327</v>
      </c>
      <c r="E63" s="101">
        <v>1.1000000000000001</v>
      </c>
      <c r="F63" s="34">
        <f>(0.42)-0.018</f>
        <v>0.40199999999999997</v>
      </c>
    </row>
    <row r="64" spans="2:6" x14ac:dyDescent="0.2">
      <c r="B64" s="30" t="s">
        <v>350</v>
      </c>
      <c r="C64" s="30" t="s">
        <v>326</v>
      </c>
      <c r="D64" s="30" t="s">
        <v>327</v>
      </c>
      <c r="E64" s="101">
        <v>2.2799999999999998</v>
      </c>
      <c r="F64" s="34">
        <f>(0.27)-0.102+1.028+1.03-0.38-(0.092)-0.164-0.162-0.054-0.12-(0.138)-0.022-0.266-0.032</f>
        <v>0.79600000000000004</v>
      </c>
    </row>
    <row r="65" spans="1:6" x14ac:dyDescent="0.2">
      <c r="B65" s="30" t="s">
        <v>350</v>
      </c>
      <c r="C65" s="30" t="s">
        <v>329</v>
      </c>
      <c r="D65" s="30" t="s">
        <v>330</v>
      </c>
      <c r="E65" s="101"/>
      <c r="F65" s="99">
        <f>4.446-0.722-0.29</f>
        <v>3.4339999999999997</v>
      </c>
    </row>
    <row r="66" spans="1:6" x14ac:dyDescent="0.2">
      <c r="B66" s="30" t="s">
        <v>350</v>
      </c>
      <c r="C66" s="30" t="s">
        <v>329</v>
      </c>
      <c r="D66" s="30" t="s">
        <v>331</v>
      </c>
      <c r="E66" s="101"/>
      <c r="F66" s="99">
        <f>2.058-1.004-0.162</f>
        <v>0.89199999999999979</v>
      </c>
    </row>
    <row r="67" spans="1:6" x14ac:dyDescent="0.2">
      <c r="B67" s="30" t="s">
        <v>350</v>
      </c>
      <c r="C67" s="30" t="s">
        <v>1534</v>
      </c>
      <c r="D67" s="30" t="s">
        <v>327</v>
      </c>
      <c r="E67" s="101"/>
      <c r="F67" s="99">
        <v>1.022</v>
      </c>
    </row>
    <row r="68" spans="1:6" x14ac:dyDescent="0.2">
      <c r="B68" s="30" t="s">
        <v>350</v>
      </c>
      <c r="C68" s="30" t="s">
        <v>1534</v>
      </c>
      <c r="D68" s="30" t="s">
        <v>432</v>
      </c>
      <c r="E68" s="101"/>
      <c r="F68" s="99">
        <f>4.525-0.03-0.152-0.206-0.308</f>
        <v>3.8289999999999997</v>
      </c>
    </row>
    <row r="69" spans="1:6" x14ac:dyDescent="0.2">
      <c r="B69" s="101" t="s">
        <v>2435</v>
      </c>
      <c r="C69" s="30" t="s">
        <v>707</v>
      </c>
      <c r="D69" s="101" t="s">
        <v>2436</v>
      </c>
      <c r="E69" s="25"/>
      <c r="F69" s="99">
        <f>0.16-0.01</f>
        <v>0.15</v>
      </c>
    </row>
    <row r="70" spans="1:6" x14ac:dyDescent="0.2">
      <c r="B70" s="30" t="s">
        <v>2432</v>
      </c>
      <c r="C70" s="30" t="s">
        <v>219</v>
      </c>
      <c r="D70" s="30" t="s">
        <v>1220</v>
      </c>
      <c r="E70" s="101"/>
      <c r="F70" s="99">
        <v>5.38</v>
      </c>
    </row>
    <row r="71" spans="1:6" x14ac:dyDescent="0.2">
      <c r="B71" s="101" t="s">
        <v>2606</v>
      </c>
      <c r="C71" s="30" t="s">
        <v>697</v>
      </c>
      <c r="D71" s="101" t="s">
        <v>324</v>
      </c>
      <c r="E71" s="183"/>
      <c r="F71" s="99">
        <f>0.97-0.325</f>
        <v>0.64500000000000002</v>
      </c>
    </row>
    <row r="72" spans="1:6" x14ac:dyDescent="0.2">
      <c r="B72" s="101" t="s">
        <v>2388</v>
      </c>
      <c r="C72" s="30" t="s">
        <v>402</v>
      </c>
      <c r="D72" s="101" t="s">
        <v>2063</v>
      </c>
      <c r="E72" s="183"/>
      <c r="F72" s="99">
        <v>6.66</v>
      </c>
    </row>
    <row r="73" spans="1:6" s="35" customFormat="1" x14ac:dyDescent="0.2">
      <c r="A73" s="68"/>
      <c r="B73" s="101" t="s">
        <v>2388</v>
      </c>
      <c r="C73" s="30"/>
      <c r="D73" s="101" t="s">
        <v>2602</v>
      </c>
      <c r="E73" s="183"/>
      <c r="F73" s="99">
        <v>9.2799999999999994</v>
      </c>
    </row>
    <row r="74" spans="1:6" s="35" customFormat="1" x14ac:dyDescent="0.2">
      <c r="A74" s="68"/>
      <c r="B74" s="78" t="s">
        <v>351</v>
      </c>
      <c r="C74" s="174">
        <v>20</v>
      </c>
      <c r="D74" s="2" t="s">
        <v>95</v>
      </c>
      <c r="E74" s="77"/>
      <c r="F74" s="39">
        <v>0.1</v>
      </c>
    </row>
    <row r="75" spans="1:6" s="35" customFormat="1" x14ac:dyDescent="0.2">
      <c r="A75" s="68"/>
      <c r="B75" s="78" t="s">
        <v>351</v>
      </c>
      <c r="C75" s="174">
        <v>20</v>
      </c>
      <c r="D75" s="2" t="s">
        <v>106</v>
      </c>
      <c r="E75" s="77"/>
      <c r="F75" s="39">
        <v>0.13500000000000001</v>
      </c>
    </row>
    <row r="76" spans="1:6" s="35" customFormat="1" x14ac:dyDescent="0.2">
      <c r="A76" s="68"/>
      <c r="B76" s="78" t="s">
        <v>351</v>
      </c>
      <c r="C76" s="174">
        <v>40</v>
      </c>
      <c r="D76" s="2" t="s">
        <v>105</v>
      </c>
      <c r="E76" s="77"/>
      <c r="F76" s="39">
        <v>0.65</v>
      </c>
    </row>
    <row r="77" spans="1:6" s="35" customFormat="1" x14ac:dyDescent="0.2">
      <c r="A77" s="68"/>
      <c r="B77" s="78" t="s">
        <v>351</v>
      </c>
      <c r="C77" s="174">
        <v>45</v>
      </c>
      <c r="D77" s="2" t="s">
        <v>96</v>
      </c>
      <c r="E77" s="77"/>
      <c r="F77" s="39">
        <v>0.745</v>
      </c>
    </row>
    <row r="78" spans="1:6" s="35" customFormat="1" x14ac:dyDescent="0.2">
      <c r="A78" s="68"/>
      <c r="B78" s="78" t="s">
        <v>351</v>
      </c>
      <c r="C78" s="174">
        <v>45</v>
      </c>
      <c r="D78" s="2" t="s">
        <v>104</v>
      </c>
      <c r="E78" s="77"/>
      <c r="F78" s="39">
        <v>0.22</v>
      </c>
    </row>
    <row r="79" spans="1:6" s="35" customFormat="1" x14ac:dyDescent="0.2">
      <c r="A79" s="68"/>
      <c r="B79" s="78" t="s">
        <v>351</v>
      </c>
      <c r="C79" s="174" t="s">
        <v>210</v>
      </c>
      <c r="D79" s="2" t="s">
        <v>97</v>
      </c>
      <c r="E79" s="77"/>
      <c r="F79" s="39">
        <v>0.51</v>
      </c>
    </row>
    <row r="80" spans="1:6" s="35" customFormat="1" x14ac:dyDescent="0.2">
      <c r="A80" s="68"/>
      <c r="B80" s="53" t="s">
        <v>351</v>
      </c>
      <c r="C80" s="189" t="s">
        <v>210</v>
      </c>
      <c r="D80" s="190" t="s">
        <v>101</v>
      </c>
      <c r="E80" s="127"/>
      <c r="F80" s="192">
        <v>0.16500000000000001</v>
      </c>
    </row>
    <row r="81" spans="1:6" s="35" customFormat="1" x14ac:dyDescent="0.2">
      <c r="A81" s="68"/>
      <c r="B81" s="137" t="s">
        <v>351</v>
      </c>
      <c r="C81" s="137" t="s">
        <v>210</v>
      </c>
      <c r="D81" s="137" t="s">
        <v>1190</v>
      </c>
      <c r="E81" s="135"/>
      <c r="F81" s="136">
        <v>0.214</v>
      </c>
    </row>
    <row r="82" spans="1:6" s="35" customFormat="1" x14ac:dyDescent="0.2">
      <c r="A82" s="68"/>
      <c r="B82" s="78" t="s">
        <v>351</v>
      </c>
      <c r="C82" s="174" t="s">
        <v>693</v>
      </c>
      <c r="D82" s="2" t="s">
        <v>99</v>
      </c>
      <c r="E82" s="77"/>
      <c r="F82" s="39">
        <v>0.48</v>
      </c>
    </row>
    <row r="83" spans="1:6" s="35" customFormat="1" x14ac:dyDescent="0.2">
      <c r="A83" s="68"/>
      <c r="B83" s="78" t="s">
        <v>351</v>
      </c>
      <c r="C83" s="174" t="s">
        <v>693</v>
      </c>
      <c r="D83" s="2" t="s">
        <v>100</v>
      </c>
      <c r="E83" s="77"/>
      <c r="F83" s="39">
        <v>0.155</v>
      </c>
    </row>
    <row r="84" spans="1:6" s="35" customFormat="1" x14ac:dyDescent="0.2">
      <c r="A84" s="68"/>
      <c r="B84" s="78" t="s">
        <v>351</v>
      </c>
      <c r="C84" s="174" t="s">
        <v>693</v>
      </c>
      <c r="D84" s="2" t="s">
        <v>103</v>
      </c>
      <c r="E84" s="77"/>
      <c r="F84" s="39">
        <v>0.2</v>
      </c>
    </row>
    <row r="85" spans="1:6" s="35" customFormat="1" x14ac:dyDescent="0.2">
      <c r="A85" s="68"/>
      <c r="B85" s="78" t="s">
        <v>351</v>
      </c>
      <c r="C85" s="174" t="s">
        <v>694</v>
      </c>
      <c r="D85" s="2" t="s">
        <v>102</v>
      </c>
      <c r="E85" s="77"/>
      <c r="F85" s="39">
        <v>0.47</v>
      </c>
    </row>
    <row r="86" spans="1:6" s="35" customFormat="1" x14ac:dyDescent="0.2">
      <c r="A86" s="68"/>
      <c r="B86" s="78" t="s">
        <v>351</v>
      </c>
      <c r="C86" s="174" t="s">
        <v>689</v>
      </c>
      <c r="D86" s="2" t="s">
        <v>90</v>
      </c>
      <c r="E86" s="77"/>
      <c r="F86" s="39">
        <v>0.24</v>
      </c>
    </row>
    <row r="87" spans="1:6" s="35" customFormat="1" x14ac:dyDescent="0.2">
      <c r="A87" s="68"/>
      <c r="B87" s="53" t="s">
        <v>351</v>
      </c>
      <c r="C87" s="174" t="s">
        <v>689</v>
      </c>
      <c r="D87" s="190" t="s">
        <v>92</v>
      </c>
      <c r="E87" s="127"/>
      <c r="F87" s="192">
        <v>7.4999999999999997E-2</v>
      </c>
    </row>
    <row r="88" spans="1:6" s="35" customFormat="1" x14ac:dyDescent="0.2">
      <c r="A88" s="68"/>
      <c r="B88" s="78" t="s">
        <v>351</v>
      </c>
      <c r="C88" s="174" t="s">
        <v>689</v>
      </c>
      <c r="D88" s="2" t="s">
        <v>91</v>
      </c>
      <c r="E88" s="77"/>
      <c r="F88" s="39">
        <v>4.67</v>
      </c>
    </row>
    <row r="89" spans="1:6" s="35" customFormat="1" x14ac:dyDescent="0.2">
      <c r="A89" s="68"/>
      <c r="B89" s="78" t="s">
        <v>351</v>
      </c>
      <c r="C89" s="174" t="s">
        <v>690</v>
      </c>
      <c r="D89" s="2" t="s">
        <v>93</v>
      </c>
      <c r="E89" s="77"/>
      <c r="F89" s="39">
        <v>0.21</v>
      </c>
    </row>
    <row r="90" spans="1:6" s="35" customFormat="1" x14ac:dyDescent="0.2">
      <c r="A90" s="68"/>
      <c r="B90" s="78" t="s">
        <v>351</v>
      </c>
      <c r="C90" s="174" t="s">
        <v>692</v>
      </c>
      <c r="D90" s="2" t="s">
        <v>98</v>
      </c>
      <c r="E90" s="77"/>
      <c r="F90" s="39">
        <v>1.675</v>
      </c>
    </row>
    <row r="91" spans="1:6" s="35" customFormat="1" ht="14.25" customHeight="1" x14ac:dyDescent="0.2">
      <c r="A91" s="68"/>
      <c r="B91" s="30" t="s">
        <v>351</v>
      </c>
      <c r="C91" s="30" t="s">
        <v>352</v>
      </c>
      <c r="D91" s="30" t="s">
        <v>1184</v>
      </c>
      <c r="E91" s="101"/>
      <c r="F91" s="99">
        <v>3.63</v>
      </c>
    </row>
    <row r="92" spans="1:6" s="35" customFormat="1" ht="15" customHeight="1" x14ac:dyDescent="0.2">
      <c r="A92" s="68"/>
      <c r="B92" s="78" t="s">
        <v>351</v>
      </c>
      <c r="C92" s="174" t="s">
        <v>691</v>
      </c>
      <c r="D92" s="2" t="s">
        <v>94</v>
      </c>
      <c r="E92" s="77"/>
      <c r="F92" s="39">
        <v>9.5000000000000001E-2</v>
      </c>
    </row>
    <row r="93" spans="1:6" s="35" customFormat="1" x14ac:dyDescent="0.2">
      <c r="A93" s="68"/>
      <c r="B93" s="101" t="s">
        <v>353</v>
      </c>
      <c r="C93" s="30">
        <v>3</v>
      </c>
      <c r="D93" s="101">
        <v>16</v>
      </c>
      <c r="E93" s="25"/>
      <c r="F93" s="99">
        <f>3.54-0.01-1-0.01-0.02-0.1-0.2-0.025-0.21-0.95-0.03-0.5-0.26-0.035-0.025-0.025</f>
        <v>0.14000000000000032</v>
      </c>
    </row>
    <row r="94" spans="1:6" s="35" customFormat="1" x14ac:dyDescent="0.2">
      <c r="A94" s="68"/>
      <c r="B94" s="101" t="s">
        <v>353</v>
      </c>
      <c r="C94" s="30">
        <v>3</v>
      </c>
      <c r="D94" s="101" t="s">
        <v>1537</v>
      </c>
      <c r="E94" s="183"/>
      <c r="F94" s="99">
        <f>1.35-0.37-0.13</f>
        <v>0.85000000000000009</v>
      </c>
    </row>
    <row r="95" spans="1:6" s="35" customFormat="1" x14ac:dyDescent="0.2">
      <c r="A95" s="68"/>
      <c r="B95" s="101" t="s">
        <v>353</v>
      </c>
      <c r="C95" s="30">
        <v>3</v>
      </c>
      <c r="D95" s="101">
        <v>25</v>
      </c>
      <c r="E95" s="183"/>
      <c r="F95" s="99">
        <v>0.06</v>
      </c>
    </row>
    <row r="96" spans="1:6" s="35" customFormat="1" x14ac:dyDescent="0.2">
      <c r="A96" s="68"/>
      <c r="B96" s="101" t="s">
        <v>353</v>
      </c>
      <c r="C96" s="30">
        <v>3</v>
      </c>
      <c r="D96" s="101">
        <v>26</v>
      </c>
      <c r="E96" s="101"/>
      <c r="F96" s="99">
        <f>7.38-0.05-0.1-0.39-0.5-0.11-0.5-0.42-0.1-0.25-0.14-0.025-0.5-0.2-0.17-0.3-0.1-0.04-0.24-0.3</f>
        <v>2.9450000000000012</v>
      </c>
    </row>
    <row r="97" spans="1:6" s="35" customFormat="1" x14ac:dyDescent="0.2">
      <c r="A97" s="68"/>
      <c r="B97" s="101" t="s">
        <v>353</v>
      </c>
      <c r="C97" s="30">
        <v>3</v>
      </c>
      <c r="D97" s="101">
        <v>65</v>
      </c>
      <c r="E97" s="25"/>
      <c r="F97" s="99">
        <v>0.31</v>
      </c>
    </row>
    <row r="98" spans="1:6" s="35" customFormat="1" x14ac:dyDescent="0.2">
      <c r="A98" s="68"/>
      <c r="B98" s="101" t="s">
        <v>353</v>
      </c>
      <c r="C98" s="30">
        <v>3</v>
      </c>
      <c r="D98" s="101" t="s">
        <v>1616</v>
      </c>
      <c r="E98" s="183"/>
      <c r="F98" s="99">
        <v>0.28000000000000003</v>
      </c>
    </row>
    <row r="99" spans="1:6" s="35" customFormat="1" x14ac:dyDescent="0.2">
      <c r="A99" s="68"/>
      <c r="B99" s="101" t="s">
        <v>353</v>
      </c>
      <c r="C99" s="30">
        <v>3</v>
      </c>
      <c r="D99" s="101" t="s">
        <v>1631</v>
      </c>
      <c r="E99" s="183"/>
      <c r="F99" s="99">
        <v>0.44</v>
      </c>
    </row>
    <row r="100" spans="1:6" s="35" customFormat="1" x14ac:dyDescent="0.2">
      <c r="A100" s="68"/>
      <c r="B100" s="101" t="s">
        <v>353</v>
      </c>
      <c r="C100" s="30">
        <v>3</v>
      </c>
      <c r="D100" s="101">
        <v>300</v>
      </c>
      <c r="E100" s="183"/>
      <c r="F100" s="99">
        <f>0.9-0.075</f>
        <v>0.82500000000000007</v>
      </c>
    </row>
    <row r="101" spans="1:6" s="35" customFormat="1" x14ac:dyDescent="0.2">
      <c r="A101" s="68"/>
      <c r="B101" s="101" t="s">
        <v>353</v>
      </c>
      <c r="C101" s="30">
        <v>5</v>
      </c>
      <c r="D101" s="101">
        <v>38</v>
      </c>
      <c r="E101" s="25"/>
      <c r="F101" s="99">
        <f>10.54-0.26-0.16-0.245-0.05-0.2-0.055-0.095-0.05-0.105-0.045-0.235-0.04-0.415-0.21-0.24-0.05-0.14-0.36-0.27-0.13-0.095-1.095-0.14-0.04-0.415-0.235-0.03-0.05-0.13-0.8-0.52-0.05-0.675-0.09-0.45-0.75-0.3-0.28</f>
        <v>1.04</v>
      </c>
    </row>
    <row r="102" spans="1:6" s="35" customFormat="1" x14ac:dyDescent="0.2">
      <c r="A102" s="68"/>
      <c r="B102" s="101" t="s">
        <v>353</v>
      </c>
      <c r="C102" s="30">
        <v>5</v>
      </c>
      <c r="D102" s="101">
        <v>140</v>
      </c>
      <c r="E102" s="25"/>
      <c r="F102" s="99">
        <f>1.48-0.27</f>
        <v>1.21</v>
      </c>
    </row>
    <row r="103" spans="1:6" s="35" customFormat="1" x14ac:dyDescent="0.2">
      <c r="A103" s="68"/>
      <c r="B103" s="101" t="s">
        <v>353</v>
      </c>
      <c r="C103" s="30">
        <v>15</v>
      </c>
      <c r="D103" s="101">
        <v>21</v>
      </c>
      <c r="E103" s="183"/>
      <c r="F103" s="99">
        <f>1.67-0.03-0.015-0.25-0.17-0.56-0.15-0.01-0.02-0.105-0.04-0.01-0.02-0.05-0.025-0.01-0.01-0.02-0.025-0.01</f>
        <v>0.13999999999999999</v>
      </c>
    </row>
    <row r="104" spans="1:6" s="35" customFormat="1" x14ac:dyDescent="0.2">
      <c r="A104" s="68"/>
      <c r="B104" s="101" t="s">
        <v>353</v>
      </c>
      <c r="C104" s="30">
        <v>15</v>
      </c>
      <c r="D104" s="101">
        <v>38</v>
      </c>
      <c r="E104" s="25"/>
      <c r="F104" s="99">
        <f>2-0.025-0.037-0.065-0.06-0.035-0.15-0.06-0.09-0.04-0.05-0.01-0.03</f>
        <v>1.3480000000000001</v>
      </c>
    </row>
    <row r="105" spans="1:6" s="35" customFormat="1" x14ac:dyDescent="0.2">
      <c r="A105" s="68"/>
      <c r="B105" s="4" t="s">
        <v>353</v>
      </c>
      <c r="C105" s="174">
        <v>20</v>
      </c>
      <c r="D105" s="37" t="s">
        <v>659</v>
      </c>
      <c r="E105" s="5" t="s">
        <v>293</v>
      </c>
      <c r="F105" s="39">
        <v>1.97</v>
      </c>
    </row>
    <row r="106" spans="1:6" s="35" customFormat="1" x14ac:dyDescent="0.2">
      <c r="A106" s="68"/>
      <c r="B106" s="4" t="s">
        <v>353</v>
      </c>
      <c r="C106" s="174">
        <v>20</v>
      </c>
      <c r="D106" s="37" t="s">
        <v>660</v>
      </c>
      <c r="E106" s="5" t="s">
        <v>295</v>
      </c>
      <c r="F106" s="39">
        <v>10.63</v>
      </c>
    </row>
    <row r="107" spans="1:6" s="35" customFormat="1" x14ac:dyDescent="0.2">
      <c r="A107" s="68"/>
      <c r="B107" s="4" t="s">
        <v>353</v>
      </c>
      <c r="C107" s="174">
        <v>20</v>
      </c>
      <c r="D107" s="63" t="s">
        <v>677</v>
      </c>
      <c r="E107" s="4" t="s">
        <v>28</v>
      </c>
      <c r="F107" s="40">
        <v>1.25</v>
      </c>
    </row>
    <row r="108" spans="1:6" s="35" customFormat="1" x14ac:dyDescent="0.2">
      <c r="A108" s="68"/>
      <c r="B108" s="4" t="s">
        <v>353</v>
      </c>
      <c r="C108" s="174">
        <v>20</v>
      </c>
      <c r="D108" s="63" t="s">
        <v>679</v>
      </c>
      <c r="E108" s="4" t="s">
        <v>28</v>
      </c>
      <c r="F108" s="40">
        <v>1.83</v>
      </c>
    </row>
    <row r="109" spans="1:6" s="35" customFormat="1" x14ac:dyDescent="0.2">
      <c r="A109" s="68"/>
      <c r="B109" s="4" t="s">
        <v>353</v>
      </c>
      <c r="C109" s="174">
        <v>20</v>
      </c>
      <c r="D109" s="64" t="s">
        <v>652</v>
      </c>
      <c r="E109" s="4" t="s">
        <v>28</v>
      </c>
      <c r="F109" s="40">
        <v>1.53</v>
      </c>
    </row>
    <row r="110" spans="1:6" s="35" customFormat="1" x14ac:dyDescent="0.2">
      <c r="A110" s="68"/>
      <c r="B110" s="78" t="s">
        <v>353</v>
      </c>
      <c r="C110" s="174">
        <v>20</v>
      </c>
      <c r="D110" s="2" t="s">
        <v>123</v>
      </c>
      <c r="E110" s="4"/>
      <c r="F110" s="39">
        <v>6.5000000000000002E-2</v>
      </c>
    </row>
    <row r="111" spans="1:6" s="35" customFormat="1" x14ac:dyDescent="0.2">
      <c r="A111" s="68"/>
      <c r="B111" s="78" t="s">
        <v>353</v>
      </c>
      <c r="C111" s="174">
        <v>20</v>
      </c>
      <c r="D111" s="2" t="s">
        <v>120</v>
      </c>
      <c r="E111" s="4"/>
      <c r="F111" s="39">
        <v>0.22</v>
      </c>
    </row>
    <row r="112" spans="1:6" s="35" customFormat="1" x14ac:dyDescent="0.2">
      <c r="A112" s="68"/>
      <c r="B112" s="78" t="s">
        <v>353</v>
      </c>
      <c r="C112" s="174">
        <v>20</v>
      </c>
      <c r="D112" s="2" t="s">
        <v>119</v>
      </c>
      <c r="E112" s="4"/>
      <c r="F112" s="39">
        <v>0.75</v>
      </c>
    </row>
    <row r="113" spans="1:6" s="35" customFormat="1" x14ac:dyDescent="0.2">
      <c r="A113" s="68"/>
      <c r="B113" s="78" t="s">
        <v>353</v>
      </c>
      <c r="C113" s="174">
        <v>20</v>
      </c>
      <c r="D113" s="2" t="s">
        <v>118</v>
      </c>
      <c r="E113" s="4"/>
      <c r="F113" s="39">
        <v>0.09</v>
      </c>
    </row>
    <row r="114" spans="1:6" s="35" customFormat="1" x14ac:dyDescent="0.2">
      <c r="A114" s="68"/>
      <c r="B114" s="78" t="s">
        <v>353</v>
      </c>
      <c r="C114" s="174">
        <v>20</v>
      </c>
      <c r="D114" s="2" t="s">
        <v>117</v>
      </c>
      <c r="E114" s="4"/>
      <c r="F114" s="39">
        <v>0.31</v>
      </c>
    </row>
    <row r="115" spans="1:6" s="35" customFormat="1" x14ac:dyDescent="0.2">
      <c r="A115" s="68"/>
      <c r="B115" s="78" t="s">
        <v>353</v>
      </c>
      <c r="C115" s="174">
        <v>20</v>
      </c>
      <c r="D115" s="2" t="s">
        <v>115</v>
      </c>
      <c r="E115" s="4"/>
      <c r="F115" s="39">
        <v>5.5E-2</v>
      </c>
    </row>
    <row r="116" spans="1:6" s="35" customFormat="1" x14ac:dyDescent="0.2">
      <c r="A116" s="68"/>
      <c r="B116" s="78" t="s">
        <v>353</v>
      </c>
      <c r="C116" s="174">
        <v>20</v>
      </c>
      <c r="D116" s="2" t="s">
        <v>109</v>
      </c>
      <c r="E116" s="4"/>
      <c r="F116" s="39">
        <v>0.625</v>
      </c>
    </row>
    <row r="117" spans="1:6" s="35" customFormat="1" x14ac:dyDescent="0.2">
      <c r="A117" s="68"/>
      <c r="B117" s="30" t="s">
        <v>353</v>
      </c>
      <c r="C117" s="30">
        <v>20</v>
      </c>
      <c r="D117" s="30">
        <v>16</v>
      </c>
      <c r="E117" s="101"/>
      <c r="F117" s="99">
        <f>3.26-0.152-1.88-0.2-0.03-0.0016-0.302-0.092-0.204-0.252-0.008-0.052-0.078+0.026-0.016-0.018+0.2-0.056-0.144+0.5-0.1-0.006-0.012-0.014-0.154-0.05-0.056-0.004-0.038-0.005+0.6-0.01-0.09-0.045-0.02-0.01-0.012-0.014-0.022-0.008</f>
        <v>0.43039999999999956</v>
      </c>
    </row>
    <row r="118" spans="1:6" s="35" customFormat="1" x14ac:dyDescent="0.2">
      <c r="A118" s="68"/>
      <c r="B118" s="30" t="s">
        <v>353</v>
      </c>
      <c r="C118" s="30">
        <v>20</v>
      </c>
      <c r="D118" s="30">
        <v>24</v>
      </c>
      <c r="E118" s="101"/>
      <c r="F118" s="34">
        <f>0.206-0.206+0.2-0.052-0.054-0.078+0.296-0.024-0.002-0.045-0.085</f>
        <v>0.15599999999999997</v>
      </c>
    </row>
    <row r="119" spans="1:6" s="35" customFormat="1" x14ac:dyDescent="0.2">
      <c r="A119" s="68"/>
      <c r="B119" s="30" t="s">
        <v>353</v>
      </c>
      <c r="C119" s="30">
        <v>20</v>
      </c>
      <c r="D119" s="30" t="s">
        <v>1191</v>
      </c>
      <c r="E119" s="101"/>
      <c r="F119" s="99">
        <f>0.722-0.07-0.216-0.184-0.07-0.036+(0.016)</f>
        <v>0.16199999999999992</v>
      </c>
    </row>
    <row r="120" spans="1:6" s="35" customFormat="1" x14ac:dyDescent="0.2">
      <c r="A120" s="68"/>
      <c r="B120" s="30" t="s">
        <v>353</v>
      </c>
      <c r="C120" s="30">
        <v>20</v>
      </c>
      <c r="D120" s="30">
        <v>45</v>
      </c>
      <c r="E120" s="101"/>
      <c r="F120" s="99">
        <f>0.332-0.036</f>
        <v>0.29600000000000004</v>
      </c>
    </row>
    <row r="121" spans="1:6" s="35" customFormat="1" x14ac:dyDescent="0.2">
      <c r="A121" s="68"/>
      <c r="B121" s="30" t="s">
        <v>353</v>
      </c>
      <c r="C121" s="30">
        <v>20</v>
      </c>
      <c r="D121" s="30">
        <v>48</v>
      </c>
      <c r="E121" s="101"/>
      <c r="F121" s="99">
        <v>0.76400000000000001</v>
      </c>
    </row>
    <row r="122" spans="1:6" s="35" customFormat="1" x14ac:dyDescent="0.2">
      <c r="A122" s="68"/>
      <c r="B122" s="30" t="s">
        <v>353</v>
      </c>
      <c r="C122" s="30">
        <v>20</v>
      </c>
      <c r="D122" s="30">
        <v>60</v>
      </c>
      <c r="E122" s="101"/>
      <c r="F122" s="99">
        <f>0.83+0.06+0.075-0.136-0.06-0.128-0.102+(0.042)-0.17-0.12</f>
        <v>0.29099999999999993</v>
      </c>
    </row>
    <row r="123" spans="1:6" s="35" customFormat="1" x14ac:dyDescent="0.2">
      <c r="A123" s="68"/>
      <c r="B123" s="30" t="s">
        <v>353</v>
      </c>
      <c r="C123" s="30">
        <v>20</v>
      </c>
      <c r="D123" s="30">
        <v>85</v>
      </c>
      <c r="E123" s="101"/>
      <c r="F123" s="99">
        <f>1.066-0.75</f>
        <v>0.31600000000000006</v>
      </c>
    </row>
    <row r="124" spans="1:6" s="35" customFormat="1" x14ac:dyDescent="0.2">
      <c r="A124" s="68"/>
      <c r="B124" s="30" t="s">
        <v>353</v>
      </c>
      <c r="C124" s="30">
        <v>20</v>
      </c>
      <c r="D124" s="30">
        <v>95</v>
      </c>
      <c r="E124" s="101"/>
      <c r="F124" s="99">
        <f>2.83-0.956-0.07+(0.974)-0.23</f>
        <v>2.548</v>
      </c>
    </row>
    <row r="125" spans="1:6" s="35" customFormat="1" x14ac:dyDescent="0.2">
      <c r="A125" s="68"/>
      <c r="B125" s="30" t="s">
        <v>353</v>
      </c>
      <c r="C125" s="30">
        <v>20</v>
      </c>
      <c r="D125" s="30">
        <v>130</v>
      </c>
      <c r="E125" s="101"/>
      <c r="F125" s="34">
        <f>1.174+4.13-0.578-0.076-0.106-0.126-0.286-0.11-0.58-0.486-0.054-0.588-0.034+3+0.56-5.774+0.586-0.054+2.07-0.708-0.056-0.136-0.104-0.236-0.188-0.01-0.018+0.124+1.284+0.618+0.418-0.02-0.124-0.084-0.062-0.312-0.026-0.014-0.118-0.054-0.256-0.31-0.196-0.02-0.118-0.01-0.086-0.21-0.015-0.224-0.29-0.02-0.416</f>
        <v>0.67100000000000293</v>
      </c>
    </row>
    <row r="126" spans="1:6" s="35" customFormat="1" x14ac:dyDescent="0.2">
      <c r="A126" s="68"/>
      <c r="B126" s="30" t="s">
        <v>353</v>
      </c>
      <c r="C126" s="30">
        <v>20</v>
      </c>
      <c r="D126" s="30">
        <v>200</v>
      </c>
      <c r="E126" s="101"/>
      <c r="F126" s="34">
        <f>1.377+0.028-0.37-0.246-0.438-0.084+0.37+0.612+0.594-0.37-0.166-0.054</f>
        <v>1.2529999999999999</v>
      </c>
    </row>
    <row r="127" spans="1:6" s="35" customFormat="1" x14ac:dyDescent="0.2">
      <c r="A127" s="68"/>
      <c r="B127" s="30" t="s">
        <v>353</v>
      </c>
      <c r="C127" s="30">
        <v>20</v>
      </c>
      <c r="D127" s="30" t="s">
        <v>415</v>
      </c>
      <c r="E127" s="101"/>
      <c r="F127" s="34">
        <v>1.135</v>
      </c>
    </row>
    <row r="128" spans="1:6" s="35" customFormat="1" x14ac:dyDescent="0.2">
      <c r="A128" s="68"/>
      <c r="B128" s="30" t="s">
        <v>353</v>
      </c>
      <c r="C128" s="30">
        <v>20</v>
      </c>
      <c r="D128" s="30" t="s">
        <v>416</v>
      </c>
      <c r="E128" s="101"/>
      <c r="F128" s="34">
        <v>0.83499999999999996</v>
      </c>
    </row>
    <row r="129" spans="1:6" s="35" customFormat="1" x14ac:dyDescent="0.2">
      <c r="A129" s="68"/>
      <c r="B129" s="101" t="s">
        <v>353</v>
      </c>
      <c r="C129" s="30">
        <v>20</v>
      </c>
      <c r="D129" s="101">
        <v>13</v>
      </c>
      <c r="E129" s="25"/>
      <c r="F129" s="99">
        <f>0.7-0.13-0.06-0.005-0.2-0.15-0.02</f>
        <v>0.13500000000000001</v>
      </c>
    </row>
    <row r="130" spans="1:6" s="35" customFormat="1" x14ac:dyDescent="0.2">
      <c r="A130" s="68"/>
      <c r="B130" s="101" t="s">
        <v>353</v>
      </c>
      <c r="C130" s="30">
        <v>20</v>
      </c>
      <c r="D130" s="101" t="s">
        <v>1532</v>
      </c>
      <c r="E130" s="25"/>
      <c r="F130" s="99">
        <f>2.535-0.025-0.06-0.01-0.035-0.05-0.01-0.01-0.02-0.035-0.07-0.01-0.01-0.12-0.01-0.29-0.01-0.045-0.25-0.15</f>
        <v>1.3150000000000015</v>
      </c>
    </row>
    <row r="131" spans="1:6" s="35" customFormat="1" x14ac:dyDescent="0.2">
      <c r="A131" s="68"/>
      <c r="B131" s="101" t="s">
        <v>353</v>
      </c>
      <c r="C131" s="30">
        <v>20</v>
      </c>
      <c r="D131" s="101" t="s">
        <v>1541</v>
      </c>
      <c r="E131" s="101"/>
      <c r="F131" s="99">
        <f>7.75-0.05-0.13-0.38-0.05-0.135-0.105-0.015-0.81-0.035-0.055-0.17-0.055-0.07-0.07-0.035-0.145-0.08-0.11-0.08-0.145-0.085-0.13-0.03-0.15-0.38-0.33-0.06</f>
        <v>3.8600000000000008</v>
      </c>
    </row>
    <row r="132" spans="1:6" s="35" customFormat="1" x14ac:dyDescent="0.2">
      <c r="A132" s="68"/>
      <c r="B132" s="101" t="s">
        <v>353</v>
      </c>
      <c r="C132" s="30">
        <v>20</v>
      </c>
      <c r="D132" s="101">
        <v>42</v>
      </c>
      <c r="E132" s="101"/>
      <c r="F132" s="99">
        <f>1.08-0.51</f>
        <v>0.57000000000000006</v>
      </c>
    </row>
    <row r="133" spans="1:6" s="35" customFormat="1" x14ac:dyDescent="0.2">
      <c r="A133" s="68"/>
      <c r="B133" s="101" t="s">
        <v>353</v>
      </c>
      <c r="C133" s="30">
        <v>20</v>
      </c>
      <c r="D133" s="101">
        <v>53</v>
      </c>
      <c r="E133" s="25"/>
      <c r="F133" s="99">
        <f>1.04-0.62-0.035-0.1</f>
        <v>0.28500000000000003</v>
      </c>
    </row>
    <row r="134" spans="1:6" s="35" customFormat="1" x14ac:dyDescent="0.2">
      <c r="A134" s="68"/>
      <c r="B134" s="101" t="s">
        <v>353</v>
      </c>
      <c r="C134" s="30">
        <v>20</v>
      </c>
      <c r="D134" s="101">
        <v>60</v>
      </c>
      <c r="E134" s="25"/>
      <c r="F134" s="99">
        <v>0.63</v>
      </c>
    </row>
    <row r="135" spans="1:6" s="35" customFormat="1" x14ac:dyDescent="0.2">
      <c r="A135" s="68"/>
      <c r="B135" s="101" t="s">
        <v>353</v>
      </c>
      <c r="C135" s="30">
        <v>20</v>
      </c>
      <c r="D135" s="101">
        <v>150</v>
      </c>
      <c r="E135" s="183"/>
      <c r="F135" s="99">
        <v>20</v>
      </c>
    </row>
    <row r="136" spans="1:6" s="35" customFormat="1" x14ac:dyDescent="0.2">
      <c r="A136" s="68"/>
      <c r="B136" s="101" t="s">
        <v>353</v>
      </c>
      <c r="C136" s="30">
        <v>20</v>
      </c>
      <c r="D136" s="101">
        <v>156</v>
      </c>
      <c r="E136" s="25"/>
      <c r="F136" s="99">
        <v>20</v>
      </c>
    </row>
    <row r="137" spans="1:6" s="35" customFormat="1" x14ac:dyDescent="0.2">
      <c r="A137" s="68"/>
      <c r="B137" s="101" t="s">
        <v>353</v>
      </c>
      <c r="C137" s="30">
        <v>20</v>
      </c>
      <c r="D137" s="101">
        <v>200</v>
      </c>
      <c r="E137" s="183"/>
      <c r="F137" s="99">
        <v>0.1</v>
      </c>
    </row>
    <row r="138" spans="1:6" s="35" customFormat="1" x14ac:dyDescent="0.2">
      <c r="A138" s="68"/>
      <c r="B138" s="101" t="s">
        <v>353</v>
      </c>
      <c r="C138" s="30">
        <v>20</v>
      </c>
      <c r="D138" s="101">
        <v>230</v>
      </c>
      <c r="E138" s="183"/>
      <c r="F138" s="99">
        <v>7.0000000000000007E-2</v>
      </c>
    </row>
    <row r="139" spans="1:6" s="35" customFormat="1" x14ac:dyDescent="0.2">
      <c r="A139" s="68"/>
      <c r="B139" s="101" t="s">
        <v>353</v>
      </c>
      <c r="C139" s="30">
        <v>20</v>
      </c>
      <c r="D139" s="101">
        <v>270</v>
      </c>
      <c r="E139" s="183"/>
      <c r="F139" s="99">
        <f>1.39-0.45</f>
        <v>0.94</v>
      </c>
    </row>
    <row r="140" spans="1:6" s="35" customFormat="1" x14ac:dyDescent="0.2">
      <c r="A140" s="68"/>
      <c r="B140" s="101" t="s">
        <v>353</v>
      </c>
      <c r="C140" s="30">
        <v>20</v>
      </c>
      <c r="D140" s="101">
        <v>320</v>
      </c>
      <c r="E140" s="183"/>
      <c r="F140" s="99">
        <v>1.45</v>
      </c>
    </row>
    <row r="141" spans="1:6" s="35" customFormat="1" x14ac:dyDescent="0.2">
      <c r="A141" s="68"/>
      <c r="B141" s="101" t="s">
        <v>353</v>
      </c>
      <c r="C141" s="30">
        <v>20</v>
      </c>
      <c r="D141" s="101">
        <v>330</v>
      </c>
      <c r="E141" s="183"/>
      <c r="F141" s="99">
        <f>5.27+1.5</f>
        <v>6.77</v>
      </c>
    </row>
    <row r="142" spans="1:6" s="35" customFormat="1" x14ac:dyDescent="0.2">
      <c r="A142" s="68"/>
      <c r="B142" s="101" t="s">
        <v>353</v>
      </c>
      <c r="C142" s="30">
        <v>20</v>
      </c>
      <c r="D142" s="101" t="s">
        <v>1728</v>
      </c>
      <c r="E142" s="183"/>
      <c r="F142" s="99"/>
    </row>
    <row r="143" spans="1:6" s="35" customFormat="1" x14ac:dyDescent="0.2">
      <c r="A143" s="68"/>
      <c r="B143" s="101" t="s">
        <v>353</v>
      </c>
      <c r="C143" s="30">
        <v>20</v>
      </c>
      <c r="D143" s="101">
        <v>340</v>
      </c>
      <c r="E143" s="186"/>
      <c r="F143" s="99">
        <f>5.57+5.4-2.715-0.75-0.27-0.24-0.39-0.54-0.18-0.37</f>
        <v>5.5150000000000015</v>
      </c>
    </row>
    <row r="144" spans="1:6" s="35" customFormat="1" x14ac:dyDescent="0.2">
      <c r="A144" s="68"/>
      <c r="B144" s="101" t="s">
        <v>353</v>
      </c>
      <c r="C144" s="30">
        <v>20</v>
      </c>
      <c r="D144" s="101">
        <v>350</v>
      </c>
      <c r="E144" s="183"/>
      <c r="F144" s="99">
        <v>3.45</v>
      </c>
    </row>
    <row r="145" spans="1:6" s="35" customFormat="1" x14ac:dyDescent="0.2">
      <c r="A145" s="68"/>
      <c r="B145" s="101" t="s">
        <v>353</v>
      </c>
      <c r="C145" s="30">
        <v>20</v>
      </c>
      <c r="D145" s="101">
        <v>350</v>
      </c>
      <c r="E145" s="183"/>
      <c r="F145" s="99">
        <f>5.52+5.44-0.4-1.38-1.09+0.09-1.515-6.55</f>
        <v>0.11500000000000021</v>
      </c>
    </row>
    <row r="146" spans="1:6" s="35" customFormat="1" x14ac:dyDescent="0.2">
      <c r="A146" s="68"/>
      <c r="B146" s="101" t="s">
        <v>353</v>
      </c>
      <c r="C146" s="30">
        <v>25</v>
      </c>
      <c r="D146" s="101" t="s">
        <v>1593</v>
      </c>
      <c r="E146" s="183"/>
      <c r="F146" s="99">
        <v>0.56000000000000005</v>
      </c>
    </row>
    <row r="147" spans="1:6" s="35" customFormat="1" x14ac:dyDescent="0.2">
      <c r="A147" s="68"/>
      <c r="B147" s="78" t="s">
        <v>353</v>
      </c>
      <c r="C147" s="174">
        <v>30</v>
      </c>
      <c r="D147" s="2">
        <v>240</v>
      </c>
      <c r="E147" s="4" t="s">
        <v>28</v>
      </c>
      <c r="F147" s="39">
        <v>0.94</v>
      </c>
    </row>
    <row r="148" spans="1:6" s="35" customFormat="1" x14ac:dyDescent="0.2">
      <c r="A148" s="68"/>
      <c r="B148" s="78" t="s">
        <v>353</v>
      </c>
      <c r="C148" s="174">
        <v>30</v>
      </c>
      <c r="D148" s="2" t="s">
        <v>122</v>
      </c>
      <c r="E148" s="4"/>
      <c r="F148" s="39">
        <v>7.4999999999999997E-2</v>
      </c>
    </row>
    <row r="149" spans="1:6" s="35" customFormat="1" x14ac:dyDescent="0.2">
      <c r="A149" s="68"/>
      <c r="B149" s="78" t="s">
        <v>353</v>
      </c>
      <c r="C149" s="174">
        <v>30</v>
      </c>
      <c r="D149" s="2" t="s">
        <v>121</v>
      </c>
      <c r="E149" s="4"/>
      <c r="F149" s="39">
        <v>9.5000000000000001E-2</v>
      </c>
    </row>
    <row r="150" spans="1:6" s="35" customFormat="1" x14ac:dyDescent="0.2">
      <c r="A150" s="68"/>
      <c r="B150" s="101" t="s">
        <v>353</v>
      </c>
      <c r="C150" s="30">
        <v>30</v>
      </c>
      <c r="D150" s="101" t="s">
        <v>1666</v>
      </c>
      <c r="E150" s="25"/>
      <c r="F150" s="99">
        <v>2.29</v>
      </c>
    </row>
    <row r="151" spans="1:6" s="35" customFormat="1" x14ac:dyDescent="0.2">
      <c r="A151" s="68"/>
      <c r="B151" s="4" t="s">
        <v>353</v>
      </c>
      <c r="C151" s="174">
        <v>35</v>
      </c>
      <c r="D151" s="37" t="s">
        <v>660</v>
      </c>
      <c r="E151" s="5" t="s">
        <v>295</v>
      </c>
      <c r="F151" s="39">
        <v>3.68</v>
      </c>
    </row>
    <row r="152" spans="1:6" s="35" customFormat="1" x14ac:dyDescent="0.2">
      <c r="A152" s="68"/>
      <c r="B152" s="4" t="s">
        <v>353</v>
      </c>
      <c r="C152" s="174">
        <v>35</v>
      </c>
      <c r="D152" s="64" t="s">
        <v>674</v>
      </c>
      <c r="E152" s="4">
        <v>2.35</v>
      </c>
      <c r="F152" s="40">
        <v>0.42</v>
      </c>
    </row>
    <row r="153" spans="1:6" s="35" customFormat="1" x14ac:dyDescent="0.2">
      <c r="A153" s="68"/>
      <c r="B153" s="4" t="s">
        <v>353</v>
      </c>
      <c r="C153" s="174">
        <v>35</v>
      </c>
      <c r="D153" s="64" t="s">
        <v>680</v>
      </c>
      <c r="E153" s="2" t="s">
        <v>299</v>
      </c>
      <c r="F153" s="39">
        <v>19.899999999999999</v>
      </c>
    </row>
    <row r="154" spans="1:6" s="35" customFormat="1" x14ac:dyDescent="0.2">
      <c r="A154" s="68"/>
      <c r="B154" s="78" t="s">
        <v>353</v>
      </c>
      <c r="C154" s="174">
        <v>35</v>
      </c>
      <c r="D154" s="2" t="s">
        <v>116</v>
      </c>
      <c r="E154" s="4"/>
      <c r="F154" s="39">
        <v>1.39</v>
      </c>
    </row>
    <row r="155" spans="1:6" s="35" customFormat="1" x14ac:dyDescent="0.2">
      <c r="A155" s="68"/>
      <c r="B155" s="101" t="s">
        <v>353</v>
      </c>
      <c r="C155" s="30">
        <v>35</v>
      </c>
      <c r="D155" s="101">
        <v>19</v>
      </c>
      <c r="E155" s="25"/>
      <c r="F155" s="99">
        <v>4.8499999999999996</v>
      </c>
    </row>
    <row r="156" spans="1:6" s="35" customFormat="1" x14ac:dyDescent="0.2">
      <c r="A156" s="68"/>
      <c r="B156" s="101" t="s">
        <v>353</v>
      </c>
      <c r="C156" s="30">
        <v>35</v>
      </c>
      <c r="D156" s="101">
        <v>90</v>
      </c>
      <c r="E156" s="25"/>
      <c r="F156" s="99">
        <v>6.63</v>
      </c>
    </row>
    <row r="157" spans="1:6" x14ac:dyDescent="0.2">
      <c r="B157" s="101" t="s">
        <v>353</v>
      </c>
      <c r="C157" s="30">
        <v>35</v>
      </c>
      <c r="D157" s="101">
        <v>105</v>
      </c>
      <c r="E157" s="25"/>
      <c r="F157" s="99">
        <v>0.4</v>
      </c>
    </row>
    <row r="158" spans="1:6" s="35" customFormat="1" x14ac:dyDescent="0.2">
      <c r="A158" s="68"/>
      <c r="B158" s="101" t="s">
        <v>353</v>
      </c>
      <c r="C158" s="30">
        <v>35</v>
      </c>
      <c r="D158" s="101" t="s">
        <v>2445</v>
      </c>
      <c r="E158" s="25"/>
      <c r="F158" s="99"/>
    </row>
    <row r="159" spans="1:6" s="35" customFormat="1" x14ac:dyDescent="0.2">
      <c r="A159" s="68"/>
      <c r="B159" s="101" t="s">
        <v>353</v>
      </c>
      <c r="C159" s="30">
        <v>35</v>
      </c>
      <c r="D159" s="101" t="s">
        <v>2450</v>
      </c>
      <c r="E159" s="183"/>
      <c r="F159" s="99"/>
    </row>
    <row r="160" spans="1:6" s="35" customFormat="1" x14ac:dyDescent="0.2">
      <c r="A160" s="68"/>
      <c r="B160" s="101" t="s">
        <v>353</v>
      </c>
      <c r="C160" s="30">
        <v>35</v>
      </c>
      <c r="D160" s="101" t="s">
        <v>1645</v>
      </c>
      <c r="E160" s="183"/>
      <c r="F160" s="99"/>
    </row>
    <row r="161" spans="1:6" s="35" customFormat="1" x14ac:dyDescent="0.2">
      <c r="A161" s="68"/>
      <c r="B161" s="101" t="s">
        <v>353</v>
      </c>
      <c r="C161" s="30">
        <v>35</v>
      </c>
      <c r="D161" s="101">
        <v>210</v>
      </c>
      <c r="E161" s="183"/>
      <c r="F161" s="99">
        <v>0.35499999999999998</v>
      </c>
    </row>
    <row r="162" spans="1:6" s="35" customFormat="1" x14ac:dyDescent="0.2">
      <c r="A162" s="68"/>
      <c r="B162" s="101" t="s">
        <v>353</v>
      </c>
      <c r="C162" s="30">
        <v>35</v>
      </c>
      <c r="D162" s="101" t="s">
        <v>1647</v>
      </c>
      <c r="E162" s="183"/>
      <c r="F162" s="99"/>
    </row>
    <row r="163" spans="1:6" s="35" customFormat="1" x14ac:dyDescent="0.2">
      <c r="A163" s="68"/>
      <c r="B163" s="101" t="s">
        <v>353</v>
      </c>
      <c r="C163" s="30">
        <v>35</v>
      </c>
      <c r="D163" s="101" t="s">
        <v>2455</v>
      </c>
      <c r="E163" s="25"/>
      <c r="F163" s="99"/>
    </row>
    <row r="164" spans="1:6" s="35" customFormat="1" x14ac:dyDescent="0.2">
      <c r="A164" s="68"/>
      <c r="B164" s="101" t="s">
        <v>353</v>
      </c>
      <c r="C164" s="30">
        <v>35</v>
      </c>
      <c r="D164" s="101" t="s">
        <v>1656</v>
      </c>
      <c r="E164" s="25"/>
      <c r="F164" s="99"/>
    </row>
    <row r="165" spans="1:6" s="35" customFormat="1" x14ac:dyDescent="0.2">
      <c r="A165" s="68"/>
      <c r="B165" s="101" t="s">
        <v>353</v>
      </c>
      <c r="C165" s="184">
        <v>35</v>
      </c>
      <c r="D165" s="101">
        <v>290</v>
      </c>
      <c r="E165" s="183"/>
      <c r="F165" s="99">
        <v>0.13</v>
      </c>
    </row>
    <row r="166" spans="1:6" s="35" customFormat="1" x14ac:dyDescent="0.2">
      <c r="A166" s="68"/>
      <c r="B166" s="101" t="s">
        <v>353</v>
      </c>
      <c r="C166" s="30">
        <v>35</v>
      </c>
      <c r="D166" s="101" t="s">
        <v>1694</v>
      </c>
      <c r="E166" s="183"/>
      <c r="F166" s="99">
        <v>0.13</v>
      </c>
    </row>
    <row r="167" spans="1:6" s="35" customFormat="1" x14ac:dyDescent="0.2">
      <c r="A167" s="68"/>
      <c r="B167" s="101" t="s">
        <v>353</v>
      </c>
      <c r="C167" s="30">
        <v>35</v>
      </c>
      <c r="D167" s="101" t="s">
        <v>1714</v>
      </c>
      <c r="E167" s="183"/>
      <c r="F167" s="99"/>
    </row>
    <row r="168" spans="1:6" s="35" customFormat="1" x14ac:dyDescent="0.2">
      <c r="A168" s="68"/>
      <c r="B168" s="101" t="s">
        <v>353</v>
      </c>
      <c r="C168" s="30">
        <v>35</v>
      </c>
      <c r="D168" s="101" t="s">
        <v>1726</v>
      </c>
      <c r="E168" s="183"/>
      <c r="F168" s="99"/>
    </row>
    <row r="169" spans="1:6" s="35" customFormat="1" x14ac:dyDescent="0.2">
      <c r="A169" s="68"/>
      <c r="B169" s="101" t="s">
        <v>353</v>
      </c>
      <c r="C169" s="30">
        <v>35</v>
      </c>
      <c r="D169" s="101">
        <v>325</v>
      </c>
      <c r="E169" s="183"/>
      <c r="F169" s="99"/>
    </row>
    <row r="170" spans="1:6" s="35" customFormat="1" x14ac:dyDescent="0.2">
      <c r="A170" s="68"/>
      <c r="B170" s="101" t="s">
        <v>353</v>
      </c>
      <c r="C170" s="30">
        <v>35</v>
      </c>
      <c r="D170" s="101" t="s">
        <v>2483</v>
      </c>
      <c r="E170" s="183"/>
      <c r="F170" s="99"/>
    </row>
    <row r="171" spans="1:6" s="35" customFormat="1" x14ac:dyDescent="0.2">
      <c r="A171" s="68"/>
      <c r="B171" s="101" t="s">
        <v>353</v>
      </c>
      <c r="C171" s="30">
        <v>35</v>
      </c>
      <c r="D171" s="101" t="s">
        <v>2484</v>
      </c>
      <c r="E171" s="183"/>
      <c r="F171" s="99"/>
    </row>
    <row r="172" spans="1:6" s="35" customFormat="1" x14ac:dyDescent="0.2">
      <c r="A172" s="68"/>
      <c r="B172" s="101" t="s">
        <v>353</v>
      </c>
      <c r="C172" s="30">
        <v>35</v>
      </c>
      <c r="D172" s="101" t="s">
        <v>2484</v>
      </c>
      <c r="E172" s="183"/>
      <c r="F172" s="99"/>
    </row>
    <row r="173" spans="1:6" s="35" customFormat="1" x14ac:dyDescent="0.2">
      <c r="A173" s="68"/>
      <c r="B173" s="101" t="s">
        <v>353</v>
      </c>
      <c r="C173" s="30">
        <v>35</v>
      </c>
      <c r="D173" s="101" t="s">
        <v>1758</v>
      </c>
      <c r="E173" s="183"/>
      <c r="F173" s="99">
        <v>1.52</v>
      </c>
    </row>
    <row r="174" spans="1:6" s="35" customFormat="1" x14ac:dyDescent="0.2">
      <c r="A174" s="68"/>
      <c r="B174" s="101" t="s">
        <v>353</v>
      </c>
      <c r="C174" s="30">
        <v>35</v>
      </c>
      <c r="D174" s="101">
        <v>350</v>
      </c>
      <c r="E174" s="183"/>
      <c r="F174" s="99">
        <f>4.98-2.32+1.73</f>
        <v>4.3900000000000006</v>
      </c>
    </row>
    <row r="175" spans="1:6" s="35" customFormat="1" x14ac:dyDescent="0.2">
      <c r="A175" s="68"/>
      <c r="B175" s="101" t="s">
        <v>353</v>
      </c>
      <c r="C175" s="30">
        <v>35</v>
      </c>
      <c r="D175" s="101" t="s">
        <v>2497</v>
      </c>
      <c r="E175" s="183"/>
      <c r="F175" s="99">
        <v>0.09</v>
      </c>
    </row>
    <row r="176" spans="1:6" s="35" customFormat="1" x14ac:dyDescent="0.2">
      <c r="A176" s="68"/>
      <c r="B176" s="101" t="s">
        <v>353</v>
      </c>
      <c r="C176" s="30">
        <v>35</v>
      </c>
      <c r="D176" s="101" t="s">
        <v>1759</v>
      </c>
      <c r="E176" s="183"/>
      <c r="F176" s="99">
        <v>0.04</v>
      </c>
    </row>
    <row r="177" spans="1:6" s="35" customFormat="1" x14ac:dyDescent="0.2">
      <c r="A177" s="68"/>
      <c r="B177" s="4" t="s">
        <v>353</v>
      </c>
      <c r="C177" s="174">
        <v>40</v>
      </c>
      <c r="D177" s="64" t="s">
        <v>675</v>
      </c>
      <c r="E177" s="4">
        <v>3.94</v>
      </c>
      <c r="F177" s="40">
        <v>0.77</v>
      </c>
    </row>
    <row r="178" spans="1:6" s="35" customFormat="1" x14ac:dyDescent="0.2">
      <c r="A178" s="68"/>
      <c r="B178" s="78" t="s">
        <v>353</v>
      </c>
      <c r="C178" s="174">
        <v>40</v>
      </c>
      <c r="D178" s="2" t="s">
        <v>110</v>
      </c>
      <c r="E178" s="4"/>
      <c r="F178" s="39">
        <v>0.13</v>
      </c>
    </row>
    <row r="179" spans="1:6" s="35" customFormat="1" x14ac:dyDescent="0.2">
      <c r="A179" s="68"/>
      <c r="B179" s="101" t="s">
        <v>353</v>
      </c>
      <c r="C179" s="30">
        <v>40</v>
      </c>
      <c r="D179" s="101">
        <v>38</v>
      </c>
      <c r="E179" s="25"/>
      <c r="F179" s="99">
        <f>1.36-0.05-0.05-0.105-0.12-0.1</f>
        <v>0.93500000000000016</v>
      </c>
    </row>
    <row r="180" spans="1:6" s="35" customFormat="1" x14ac:dyDescent="0.2">
      <c r="A180" s="68"/>
      <c r="B180" s="4" t="s">
        <v>353</v>
      </c>
      <c r="C180" s="175">
        <v>45</v>
      </c>
      <c r="D180" s="63" t="s">
        <v>280</v>
      </c>
      <c r="E180" s="4">
        <v>4.7</v>
      </c>
      <c r="F180" s="38" t="s">
        <v>159</v>
      </c>
    </row>
    <row r="181" spans="1:6" s="35" customFormat="1" x14ac:dyDescent="0.2">
      <c r="A181" s="68"/>
      <c r="B181" s="4" t="s">
        <v>353</v>
      </c>
      <c r="C181" s="174">
        <v>45</v>
      </c>
      <c r="D181" s="64" t="s">
        <v>676</v>
      </c>
      <c r="E181" s="4">
        <v>1.07</v>
      </c>
      <c r="F181" s="40">
        <v>0.27</v>
      </c>
    </row>
    <row r="182" spans="1:6" s="35" customFormat="1" x14ac:dyDescent="0.2">
      <c r="A182" s="68"/>
      <c r="B182" s="4" t="s">
        <v>353</v>
      </c>
      <c r="C182" s="174">
        <v>45</v>
      </c>
      <c r="D182" s="64" t="s">
        <v>681</v>
      </c>
      <c r="E182" s="5">
        <v>0.8</v>
      </c>
      <c r="F182" s="39">
        <v>1</v>
      </c>
    </row>
    <row r="183" spans="1:6" s="35" customFormat="1" x14ac:dyDescent="0.2">
      <c r="A183" s="68"/>
      <c r="B183" s="4" t="s">
        <v>353</v>
      </c>
      <c r="C183" s="174">
        <v>45</v>
      </c>
      <c r="D183" s="64" t="s">
        <v>653</v>
      </c>
      <c r="E183" s="4">
        <v>0.67</v>
      </c>
      <c r="F183" s="40">
        <v>1.93</v>
      </c>
    </row>
    <row r="184" spans="1:6" s="35" customFormat="1" x14ac:dyDescent="0.2">
      <c r="A184" s="68"/>
      <c r="B184" s="4" t="s">
        <v>353</v>
      </c>
      <c r="C184" s="174">
        <v>45</v>
      </c>
      <c r="D184" s="64" t="s">
        <v>652</v>
      </c>
      <c r="E184" s="4" t="s">
        <v>28</v>
      </c>
      <c r="F184" s="40">
        <v>1.52</v>
      </c>
    </row>
    <row r="185" spans="1:6" s="35" customFormat="1" x14ac:dyDescent="0.2">
      <c r="A185" s="68"/>
      <c r="B185" s="78" t="s">
        <v>353</v>
      </c>
      <c r="C185" s="174">
        <v>45</v>
      </c>
      <c r="D185" s="2" t="s">
        <v>113</v>
      </c>
      <c r="E185" s="4"/>
      <c r="F185" s="39">
        <v>0.09</v>
      </c>
    </row>
    <row r="186" spans="1:6" s="35" customFormat="1" x14ac:dyDescent="0.2">
      <c r="A186" s="68"/>
      <c r="B186" s="78" t="s">
        <v>353</v>
      </c>
      <c r="C186" s="174">
        <v>45</v>
      </c>
      <c r="D186" s="2" t="s">
        <v>108</v>
      </c>
      <c r="E186" s="4"/>
      <c r="F186" s="39">
        <v>0.1</v>
      </c>
    </row>
    <row r="187" spans="1:6" s="35" customFormat="1" x14ac:dyDescent="0.2">
      <c r="A187" s="68"/>
      <c r="B187" s="30" t="s">
        <v>353</v>
      </c>
      <c r="C187" s="30">
        <v>45</v>
      </c>
      <c r="D187" s="30">
        <v>14</v>
      </c>
      <c r="E187" s="101"/>
      <c r="F187" s="99">
        <f>0.201-0.03-0.004-0.1-0.034-0.033+1.18-0.15-0.102-0.062-0.056-0.032-0.03-0.094-0.005-0.006-0.215-0.045-0.006-0.148-0.034-0.028-0.022-0.006</f>
        <v>0.13900000000000007</v>
      </c>
    </row>
    <row r="188" spans="1:6" s="35" customFormat="1" x14ac:dyDescent="0.2">
      <c r="A188" s="68"/>
      <c r="B188" s="30" t="s">
        <v>353</v>
      </c>
      <c r="C188" s="30">
        <v>45</v>
      </c>
      <c r="D188" s="30">
        <v>65</v>
      </c>
      <c r="E188" s="101"/>
      <c r="F188" s="34">
        <f>2.49+2.8+0.128-0.078-0.31-0.038-0.052-0.042-0.078-0.014-0.038-0.03-0.135-0.026+0.055-0.155-0.155-0.024-0.155-0.16+(0.134)-0.154-0.14-0.086-0.156-0.156-0.156-0.466-0.312-0.156-0.09-0.624-0.158-0.066-0.156-0.156-0.16-0.158</f>
        <v>0.76699999999999879</v>
      </c>
    </row>
    <row r="189" spans="1:6" s="35" customFormat="1" x14ac:dyDescent="0.2">
      <c r="A189" s="68"/>
      <c r="B189" s="30" t="s">
        <v>353</v>
      </c>
      <c r="C189" s="30">
        <v>45</v>
      </c>
      <c r="D189" s="30">
        <v>90</v>
      </c>
      <c r="E189" s="101"/>
      <c r="F189" s="34">
        <f>0.434-0.218-0.1+0.408-0.012-0.05+1.99-0.164-0.148-0.124-0.046-0.16-0.6-0.134-0.254-0.008+(0.132)-0.004-0.002-0.004-0.24-0.132-0.014-0.135-0.095-0.025+0.3+1.16+0.06-0.06-0.165-0.03-0.296-0.112-0.064-0.082-0.046-0.166-0.094-0.06-0.296-0.117+(0.165)-0.196</f>
        <v>0.19599999999999901</v>
      </c>
    </row>
    <row r="190" spans="1:6" s="35" customFormat="1" x14ac:dyDescent="0.2">
      <c r="A190" s="68"/>
      <c r="B190" s="30" t="s">
        <v>353</v>
      </c>
      <c r="C190" s="30">
        <v>45</v>
      </c>
      <c r="D190" s="30">
        <v>95</v>
      </c>
      <c r="E190" s="101"/>
      <c r="F190" s="34">
        <f>1.33+1.255-0.13-0.048-0.514-0.01-0.582-0.09-0.178-0.16-0.162</f>
        <v>0.71100000000000008</v>
      </c>
    </row>
    <row r="191" spans="1:6" s="35" customFormat="1" x14ac:dyDescent="0.2">
      <c r="A191" s="68"/>
      <c r="B191" s="30" t="s">
        <v>353</v>
      </c>
      <c r="C191" s="30">
        <v>45</v>
      </c>
      <c r="D191" s="30">
        <v>100</v>
      </c>
      <c r="E191" s="101"/>
      <c r="F191" s="34">
        <v>0.28799999999999998</v>
      </c>
    </row>
    <row r="192" spans="1:6" s="35" customFormat="1" x14ac:dyDescent="0.2">
      <c r="A192" s="68"/>
      <c r="B192" s="30" t="s">
        <v>353</v>
      </c>
      <c r="C192" s="30">
        <v>45</v>
      </c>
      <c r="D192" s="30">
        <v>105</v>
      </c>
      <c r="E192" s="101"/>
      <c r="F192" s="34">
        <f>0.29-0.14</f>
        <v>0.14999999999999997</v>
      </c>
    </row>
    <row r="193" spans="1:6" s="35" customFormat="1" x14ac:dyDescent="0.2">
      <c r="A193" s="68"/>
      <c r="B193" s="30" t="s">
        <v>353</v>
      </c>
      <c r="C193" s="30">
        <v>45</v>
      </c>
      <c r="D193" s="30">
        <v>160</v>
      </c>
      <c r="E193" s="101"/>
      <c r="F193" s="34">
        <f>0.962-0.288-0.13-0.016</f>
        <v>0.52799999999999991</v>
      </c>
    </row>
    <row r="194" spans="1:6" s="35" customFormat="1" x14ac:dyDescent="0.2">
      <c r="A194" s="68"/>
      <c r="B194" s="30" t="s">
        <v>353</v>
      </c>
      <c r="C194" s="30">
        <v>45</v>
      </c>
      <c r="D194" s="30">
        <v>180</v>
      </c>
      <c r="E194" s="101"/>
      <c r="F194" s="34">
        <f>1.196-0.256+0.478-0.004+0.46-0.24-0.46-0.008</f>
        <v>1.1659999999999999</v>
      </c>
    </row>
    <row r="195" spans="1:6" s="35" customFormat="1" x14ac:dyDescent="0.2">
      <c r="A195" s="68"/>
      <c r="B195" s="30" t="s">
        <v>353</v>
      </c>
      <c r="C195" s="30">
        <v>45</v>
      </c>
      <c r="D195" s="30">
        <v>200</v>
      </c>
      <c r="E195" s="101"/>
      <c r="F195" s="99">
        <f>0.516-0.02+0.526-0.158-0.25-0.31-0.032</f>
        <v>0.27200000000000002</v>
      </c>
    </row>
    <row r="196" spans="1:6" s="35" customFormat="1" x14ac:dyDescent="0.2">
      <c r="A196" s="68"/>
      <c r="B196" s="30" t="s">
        <v>353</v>
      </c>
      <c r="C196" s="30">
        <v>45</v>
      </c>
      <c r="D196" s="30">
        <v>310</v>
      </c>
      <c r="E196" s="101"/>
      <c r="F196" s="34">
        <f>(0.69)</f>
        <v>0.69</v>
      </c>
    </row>
    <row r="197" spans="1:6" s="35" customFormat="1" x14ac:dyDescent="0.2">
      <c r="A197" s="68"/>
      <c r="B197" s="101" t="s">
        <v>353</v>
      </c>
      <c r="C197" s="30">
        <v>45</v>
      </c>
      <c r="D197" s="101">
        <v>38</v>
      </c>
      <c r="E197" s="25"/>
      <c r="F197" s="99">
        <f>5.85-0.045-0.04-0.31-0.26-0.095-0.045-0.3-0.33-0.1-0.08</f>
        <v>4.245000000000001</v>
      </c>
    </row>
    <row r="198" spans="1:6" s="35" customFormat="1" x14ac:dyDescent="0.2">
      <c r="A198" s="68"/>
      <c r="B198" s="101" t="s">
        <v>353</v>
      </c>
      <c r="C198" s="30">
        <v>45</v>
      </c>
      <c r="D198" s="101" t="s">
        <v>1554</v>
      </c>
      <c r="E198" s="25"/>
      <c r="F198" s="99">
        <f>10-0.04-0.06</f>
        <v>9.9</v>
      </c>
    </row>
    <row r="199" spans="1:6" s="35" customFormat="1" x14ac:dyDescent="0.2">
      <c r="A199" s="68"/>
      <c r="B199" s="101" t="s">
        <v>353</v>
      </c>
      <c r="C199" s="30">
        <v>45</v>
      </c>
      <c r="D199" s="101" t="s">
        <v>1558</v>
      </c>
      <c r="E199" s="25"/>
      <c r="F199" s="99">
        <f>10-1.15-0.075</f>
        <v>8.7750000000000004</v>
      </c>
    </row>
    <row r="200" spans="1:6" s="35" customFormat="1" x14ac:dyDescent="0.2">
      <c r="A200" s="68"/>
      <c r="B200" s="101" t="s">
        <v>353</v>
      </c>
      <c r="C200" s="30">
        <v>45</v>
      </c>
      <c r="D200" s="101">
        <v>60</v>
      </c>
      <c r="E200" s="25"/>
      <c r="F200" s="99">
        <f>1.82-0.27-0.135-0.45-0.1-0.095</f>
        <v>0.77000000000000013</v>
      </c>
    </row>
    <row r="201" spans="1:6" s="35" customFormat="1" x14ac:dyDescent="0.2">
      <c r="A201" s="68"/>
      <c r="B201" s="101" t="s">
        <v>353</v>
      </c>
      <c r="C201" s="30">
        <v>45</v>
      </c>
      <c r="D201" s="101">
        <v>80</v>
      </c>
      <c r="E201" s="183"/>
      <c r="F201" s="99">
        <f>6.11-0.16-0.81-0.68-0.16-0.13-0.24-0.17-0.17-1.04-0.23-0.46</f>
        <v>1.8600000000000008</v>
      </c>
    </row>
    <row r="202" spans="1:6" s="35" customFormat="1" x14ac:dyDescent="0.2">
      <c r="A202" s="68"/>
      <c r="B202" s="101" t="s">
        <v>353</v>
      </c>
      <c r="C202" s="30">
        <v>45</v>
      </c>
      <c r="D202" s="101">
        <v>85</v>
      </c>
      <c r="E202" s="183"/>
      <c r="F202" s="99">
        <v>0.12</v>
      </c>
    </row>
    <row r="203" spans="1:6" s="35" customFormat="1" x14ac:dyDescent="0.2">
      <c r="A203" s="68"/>
      <c r="B203" s="101" t="s">
        <v>353</v>
      </c>
      <c r="C203" s="30">
        <v>45</v>
      </c>
      <c r="D203" s="101">
        <v>90</v>
      </c>
      <c r="E203" s="25"/>
      <c r="F203" s="99">
        <v>0.14000000000000001</v>
      </c>
    </row>
    <row r="204" spans="1:6" s="35" customFormat="1" x14ac:dyDescent="0.2">
      <c r="A204" s="68"/>
      <c r="B204" s="101" t="s">
        <v>353</v>
      </c>
      <c r="C204" s="30">
        <v>45</v>
      </c>
      <c r="D204" s="101">
        <v>100</v>
      </c>
      <c r="E204" s="183"/>
      <c r="F204" s="99">
        <f>1.92-0.36-0.12-0.92-0.29</f>
        <v>0.22999999999999993</v>
      </c>
    </row>
    <row r="205" spans="1:6" s="35" customFormat="1" x14ac:dyDescent="0.2">
      <c r="A205" s="68"/>
      <c r="B205" s="101" t="s">
        <v>353</v>
      </c>
      <c r="C205" s="30">
        <v>45</v>
      </c>
      <c r="D205" s="101">
        <v>125</v>
      </c>
      <c r="E205" s="25"/>
      <c r="F205" s="99">
        <v>0.2</v>
      </c>
    </row>
    <row r="206" spans="1:6" s="35" customFormat="1" x14ac:dyDescent="0.2">
      <c r="A206" s="68"/>
      <c r="B206" s="101" t="s">
        <v>353</v>
      </c>
      <c r="C206" s="30">
        <v>45</v>
      </c>
      <c r="D206" s="101" t="s">
        <v>2444</v>
      </c>
      <c r="E206" s="25"/>
      <c r="F206" s="99">
        <f>10.21-0.12-0.4-0.42-0.49-2.22-0.13-0.92-0.53-0.88-0.2-1.04</f>
        <v>2.8600000000000003</v>
      </c>
    </row>
    <row r="207" spans="1:6" s="35" customFormat="1" x14ac:dyDescent="0.2">
      <c r="A207" s="68"/>
      <c r="B207" s="101" t="s">
        <v>353</v>
      </c>
      <c r="C207" s="30">
        <v>45</v>
      </c>
      <c r="D207" s="101">
        <v>140</v>
      </c>
      <c r="E207" s="25"/>
      <c r="F207" s="99">
        <f>23.2-0.61-3.06-0.61-0.6-1.84-1.84-0.61-1.2-0.62-0.6-0.25-0.61-0.37-2.45-0.61-0.605-0.61-0.61-0.12-0.48+0.24-0.6-0.24</f>
        <v>4.2950000000000035</v>
      </c>
    </row>
    <row r="208" spans="1:6" s="35" customFormat="1" x14ac:dyDescent="0.2">
      <c r="A208" s="68"/>
      <c r="B208" s="101" t="s">
        <v>353</v>
      </c>
      <c r="C208" s="30">
        <v>45</v>
      </c>
      <c r="D208" s="101" t="s">
        <v>1624</v>
      </c>
      <c r="E208" s="183"/>
      <c r="F208" s="99">
        <v>0.33</v>
      </c>
    </row>
    <row r="209" spans="1:6" s="35" customFormat="1" x14ac:dyDescent="0.2">
      <c r="A209" s="68"/>
      <c r="B209" s="101" t="s">
        <v>353</v>
      </c>
      <c r="C209" s="30">
        <v>45</v>
      </c>
      <c r="D209" s="101" t="s">
        <v>1632</v>
      </c>
      <c r="E209" s="183"/>
      <c r="F209" s="99">
        <v>0.94</v>
      </c>
    </row>
    <row r="210" spans="1:6" s="35" customFormat="1" x14ac:dyDescent="0.2">
      <c r="A210" s="68"/>
      <c r="B210" s="101" t="s">
        <v>353</v>
      </c>
      <c r="C210" s="30">
        <v>45</v>
      </c>
      <c r="D210" s="101" t="s">
        <v>1633</v>
      </c>
      <c r="E210" s="183"/>
      <c r="F210" s="99">
        <v>0.49</v>
      </c>
    </row>
    <row r="211" spans="1:6" s="35" customFormat="1" x14ac:dyDescent="0.2">
      <c r="A211" s="68"/>
      <c r="B211" s="101" t="s">
        <v>353</v>
      </c>
      <c r="C211" s="30">
        <v>45</v>
      </c>
      <c r="D211" s="101">
        <v>200</v>
      </c>
      <c r="E211" s="183"/>
      <c r="F211" s="99">
        <v>0.68</v>
      </c>
    </row>
    <row r="212" spans="1:6" s="35" customFormat="1" x14ac:dyDescent="0.2">
      <c r="A212" s="68"/>
      <c r="B212" s="101" t="s">
        <v>353</v>
      </c>
      <c r="C212" s="30">
        <v>45</v>
      </c>
      <c r="D212" s="101" t="s">
        <v>1638</v>
      </c>
      <c r="E212" s="183"/>
      <c r="F212" s="99"/>
    </row>
    <row r="213" spans="1:6" s="35" customFormat="1" x14ac:dyDescent="0.2">
      <c r="A213" s="68"/>
      <c r="B213" s="101" t="s">
        <v>353</v>
      </c>
      <c r="C213" s="30">
        <v>45</v>
      </c>
      <c r="D213" s="101" t="s">
        <v>2451</v>
      </c>
      <c r="E213" s="183"/>
      <c r="F213" s="99"/>
    </row>
    <row r="214" spans="1:6" s="35" customFormat="1" x14ac:dyDescent="0.2">
      <c r="A214" s="68"/>
      <c r="B214" s="101" t="s">
        <v>353</v>
      </c>
      <c r="C214" s="30">
        <v>45</v>
      </c>
      <c r="D214" s="101" t="s">
        <v>1639</v>
      </c>
      <c r="E214" s="183"/>
      <c r="F214" s="99">
        <v>1.7</v>
      </c>
    </row>
    <row r="215" spans="1:6" s="35" customFormat="1" x14ac:dyDescent="0.2">
      <c r="A215" s="68"/>
      <c r="B215" s="101" t="s">
        <v>353</v>
      </c>
      <c r="C215" s="30">
        <v>45</v>
      </c>
      <c r="D215" s="101" t="s">
        <v>1640</v>
      </c>
      <c r="E215" s="183"/>
      <c r="F215" s="99">
        <v>0.95</v>
      </c>
    </row>
    <row r="216" spans="1:6" s="35" customFormat="1" x14ac:dyDescent="0.2">
      <c r="A216" s="68"/>
      <c r="B216" s="101" t="s">
        <v>353</v>
      </c>
      <c r="C216" s="30">
        <v>45</v>
      </c>
      <c r="D216" s="101" t="s">
        <v>1644</v>
      </c>
      <c r="E216" s="183"/>
      <c r="F216" s="99">
        <v>1.9</v>
      </c>
    </row>
    <row r="217" spans="1:6" s="35" customFormat="1" x14ac:dyDescent="0.2">
      <c r="A217" s="68"/>
      <c r="B217" s="101" t="s">
        <v>353</v>
      </c>
      <c r="C217" s="30">
        <v>45</v>
      </c>
      <c r="D217" s="101" t="s">
        <v>1648</v>
      </c>
      <c r="E217" s="25"/>
      <c r="F217" s="99"/>
    </row>
    <row r="218" spans="1:6" s="35" customFormat="1" x14ac:dyDescent="0.2">
      <c r="A218" s="68"/>
      <c r="B218" s="101" t="s">
        <v>353</v>
      </c>
      <c r="C218" s="30">
        <v>45</v>
      </c>
      <c r="D218" s="101" t="s">
        <v>1649</v>
      </c>
      <c r="E218" s="25"/>
      <c r="F218" s="99"/>
    </row>
    <row r="219" spans="1:6" s="35" customFormat="1" x14ac:dyDescent="0.2">
      <c r="A219" s="68"/>
      <c r="B219" s="101" t="s">
        <v>353</v>
      </c>
      <c r="C219" s="30">
        <v>45</v>
      </c>
      <c r="D219" s="101" t="s">
        <v>2458</v>
      </c>
      <c r="E219" s="25"/>
      <c r="F219" s="99"/>
    </row>
    <row r="220" spans="1:6" s="35" customFormat="1" x14ac:dyDescent="0.2">
      <c r="A220" s="68"/>
      <c r="B220" s="101" t="s">
        <v>353</v>
      </c>
      <c r="C220" s="30">
        <v>45</v>
      </c>
      <c r="D220" s="101" t="s">
        <v>1652</v>
      </c>
      <c r="E220" s="183"/>
      <c r="F220" s="99"/>
    </row>
    <row r="221" spans="1:6" s="35" customFormat="1" x14ac:dyDescent="0.2">
      <c r="A221" s="68"/>
      <c r="B221" s="101" t="s">
        <v>353</v>
      </c>
      <c r="C221" s="30">
        <v>45</v>
      </c>
      <c r="D221" s="101">
        <v>230</v>
      </c>
      <c r="E221" s="183"/>
      <c r="F221" s="99">
        <v>40</v>
      </c>
    </row>
    <row r="222" spans="1:6" s="35" customFormat="1" x14ac:dyDescent="0.2">
      <c r="A222" s="68"/>
      <c r="B222" s="101" t="s">
        <v>353</v>
      </c>
      <c r="C222" s="30">
        <v>45</v>
      </c>
      <c r="D222" s="101" t="s">
        <v>1653</v>
      </c>
      <c r="E222" s="183"/>
      <c r="F222" s="99"/>
    </row>
    <row r="223" spans="1:6" s="35" customFormat="1" x14ac:dyDescent="0.2">
      <c r="A223" s="68"/>
      <c r="B223" s="101" t="s">
        <v>353</v>
      </c>
      <c r="C223" s="30">
        <v>45</v>
      </c>
      <c r="D223" s="101" t="s">
        <v>1654</v>
      </c>
      <c r="E223" s="25"/>
      <c r="F223" s="99"/>
    </row>
    <row r="224" spans="1:6" s="35" customFormat="1" x14ac:dyDescent="0.2">
      <c r="A224" s="68"/>
      <c r="B224" s="101" t="s">
        <v>353</v>
      </c>
      <c r="C224" s="30">
        <v>45</v>
      </c>
      <c r="D224" s="101" t="s">
        <v>1658</v>
      </c>
      <c r="E224" s="25"/>
      <c r="F224" s="99"/>
    </row>
    <row r="225" spans="1:6" s="35" customFormat="1" x14ac:dyDescent="0.2">
      <c r="A225" s="68"/>
      <c r="B225" s="101" t="s">
        <v>353</v>
      </c>
      <c r="C225" s="30">
        <v>45</v>
      </c>
      <c r="D225" s="101" t="s">
        <v>2460</v>
      </c>
      <c r="E225" s="25"/>
      <c r="F225" s="99"/>
    </row>
    <row r="226" spans="1:6" s="35" customFormat="1" x14ac:dyDescent="0.2">
      <c r="A226" s="68"/>
      <c r="B226" s="101" t="s">
        <v>353</v>
      </c>
      <c r="C226" s="30">
        <v>45</v>
      </c>
      <c r="D226" s="101" t="s">
        <v>1659</v>
      </c>
      <c r="E226" s="25"/>
      <c r="F226" s="99">
        <v>0.02</v>
      </c>
    </row>
    <row r="227" spans="1:6" s="35" customFormat="1" x14ac:dyDescent="0.2">
      <c r="A227" s="68"/>
      <c r="B227" s="101" t="s">
        <v>353</v>
      </c>
      <c r="C227" s="30">
        <v>45</v>
      </c>
      <c r="D227" s="101" t="s">
        <v>1660</v>
      </c>
      <c r="E227" s="183"/>
      <c r="F227" s="99">
        <v>1.1000000000000001</v>
      </c>
    </row>
    <row r="228" spans="1:6" s="35" customFormat="1" x14ac:dyDescent="0.2">
      <c r="A228" s="68"/>
      <c r="B228" s="101" t="s">
        <v>353</v>
      </c>
      <c r="C228" s="30">
        <v>45</v>
      </c>
      <c r="D228" s="101" t="s">
        <v>1661</v>
      </c>
      <c r="E228" s="183"/>
      <c r="F228" s="99">
        <v>1.7949999999999999</v>
      </c>
    </row>
    <row r="229" spans="1:6" s="35" customFormat="1" x14ac:dyDescent="0.2">
      <c r="A229" s="68"/>
      <c r="B229" s="101" t="s">
        <v>353</v>
      </c>
      <c r="C229" s="30">
        <v>45</v>
      </c>
      <c r="D229" s="101" t="s">
        <v>1662</v>
      </c>
      <c r="E229" s="183"/>
      <c r="F229" s="99"/>
    </row>
    <row r="230" spans="1:6" s="35" customFormat="1" x14ac:dyDescent="0.2">
      <c r="A230" s="68"/>
      <c r="B230" s="101" t="s">
        <v>353</v>
      </c>
      <c r="C230" s="30">
        <v>45</v>
      </c>
      <c r="D230" s="101" t="s">
        <v>2462</v>
      </c>
      <c r="E230" s="183"/>
      <c r="F230" s="99"/>
    </row>
    <row r="231" spans="1:6" s="35" customFormat="1" x14ac:dyDescent="0.2">
      <c r="A231" s="68"/>
      <c r="B231" s="101" t="s">
        <v>353</v>
      </c>
      <c r="C231" s="30">
        <v>45</v>
      </c>
      <c r="D231" s="101" t="s">
        <v>1668</v>
      </c>
      <c r="E231" s="183"/>
      <c r="F231" s="99">
        <v>1.0900000000000001</v>
      </c>
    </row>
    <row r="232" spans="1:6" s="35" customFormat="1" x14ac:dyDescent="0.2">
      <c r="A232" s="68"/>
      <c r="B232" s="101" t="s">
        <v>353</v>
      </c>
      <c r="C232" s="30">
        <v>45</v>
      </c>
      <c r="D232" s="101" t="s">
        <v>1669</v>
      </c>
      <c r="E232" s="25"/>
      <c r="F232" s="99">
        <f>2.12-0.62</f>
        <v>1.5</v>
      </c>
    </row>
    <row r="233" spans="1:6" s="35" customFormat="1" x14ac:dyDescent="0.2">
      <c r="A233" s="68"/>
      <c r="B233" s="101" t="s">
        <v>353</v>
      </c>
      <c r="C233" s="30">
        <v>45</v>
      </c>
      <c r="D233" s="101" t="s">
        <v>1670</v>
      </c>
      <c r="E233" s="25"/>
      <c r="F233" s="99">
        <v>1.66</v>
      </c>
    </row>
    <row r="234" spans="1:6" s="35" customFormat="1" x14ac:dyDescent="0.2">
      <c r="A234" s="68"/>
      <c r="B234" s="101" t="s">
        <v>353</v>
      </c>
      <c r="C234" s="30">
        <v>45</v>
      </c>
      <c r="D234" s="101" t="s">
        <v>1671</v>
      </c>
      <c r="E234" s="25"/>
      <c r="F234" s="99"/>
    </row>
    <row r="235" spans="1:6" s="35" customFormat="1" x14ac:dyDescent="0.2">
      <c r="A235" s="68"/>
      <c r="B235" s="101" t="s">
        <v>353</v>
      </c>
      <c r="C235" s="30">
        <v>45</v>
      </c>
      <c r="D235" s="101" t="s">
        <v>2465</v>
      </c>
      <c r="E235" s="183"/>
      <c r="F235" s="99"/>
    </row>
    <row r="236" spans="1:6" s="35" customFormat="1" x14ac:dyDescent="0.2">
      <c r="A236" s="68"/>
      <c r="B236" s="101" t="s">
        <v>353</v>
      </c>
      <c r="C236" s="30">
        <v>45</v>
      </c>
      <c r="D236" s="101" t="s">
        <v>2466</v>
      </c>
      <c r="E236" s="183"/>
      <c r="F236" s="99"/>
    </row>
    <row r="237" spans="1:6" s="35" customFormat="1" x14ac:dyDescent="0.2">
      <c r="A237" s="68"/>
      <c r="B237" s="101" t="s">
        <v>353</v>
      </c>
      <c r="C237" s="30">
        <v>45</v>
      </c>
      <c r="D237" s="101" t="s">
        <v>1674</v>
      </c>
      <c r="E237" s="183"/>
      <c r="F237" s="99"/>
    </row>
    <row r="238" spans="1:6" s="35" customFormat="1" x14ac:dyDescent="0.2">
      <c r="A238" s="68"/>
      <c r="B238" s="101" t="s">
        <v>353</v>
      </c>
      <c r="C238" s="30">
        <v>45</v>
      </c>
      <c r="D238" s="101">
        <v>280</v>
      </c>
      <c r="E238" s="25"/>
      <c r="F238" s="99">
        <v>0.86</v>
      </c>
    </row>
    <row r="239" spans="1:6" s="35" customFormat="1" x14ac:dyDescent="0.2">
      <c r="A239" s="68"/>
      <c r="B239" s="101" t="s">
        <v>353</v>
      </c>
      <c r="C239" s="30">
        <v>45</v>
      </c>
      <c r="D239" s="101">
        <v>280</v>
      </c>
      <c r="E239" s="183"/>
      <c r="F239" s="99">
        <v>0.08</v>
      </c>
    </row>
    <row r="240" spans="1:6" s="35" customFormat="1" x14ac:dyDescent="0.2">
      <c r="A240" s="68"/>
      <c r="B240" s="101" t="s">
        <v>353</v>
      </c>
      <c r="C240" s="30">
        <v>45</v>
      </c>
      <c r="D240" s="101" t="s">
        <v>1686</v>
      </c>
      <c r="E240" s="25"/>
      <c r="F240" s="99"/>
    </row>
    <row r="241" spans="1:6" s="35" customFormat="1" x14ac:dyDescent="0.2">
      <c r="A241" s="68"/>
      <c r="B241" s="101" t="s">
        <v>353</v>
      </c>
      <c r="C241" s="30">
        <v>45</v>
      </c>
      <c r="D241" s="101" t="s">
        <v>1687</v>
      </c>
      <c r="E241" s="25"/>
      <c r="F241" s="99"/>
    </row>
    <row r="242" spans="1:6" s="35" customFormat="1" x14ac:dyDescent="0.2">
      <c r="A242" s="68"/>
      <c r="B242" s="101" t="s">
        <v>353</v>
      </c>
      <c r="C242" s="30">
        <v>45</v>
      </c>
      <c r="D242" s="101" t="s">
        <v>1688</v>
      </c>
      <c r="E242" s="183"/>
      <c r="F242" s="99">
        <v>0.87</v>
      </c>
    </row>
    <row r="243" spans="1:6" s="35" customFormat="1" x14ac:dyDescent="0.2">
      <c r="A243" s="68"/>
      <c r="B243" s="101" t="s">
        <v>353</v>
      </c>
      <c r="C243" s="30">
        <v>45</v>
      </c>
      <c r="D243" s="101" t="s">
        <v>2471</v>
      </c>
      <c r="E243" s="183"/>
      <c r="F243" s="99">
        <v>0.13</v>
      </c>
    </row>
    <row r="244" spans="1:6" s="35" customFormat="1" x14ac:dyDescent="0.2">
      <c r="A244" s="68"/>
      <c r="B244" s="101" t="s">
        <v>353</v>
      </c>
      <c r="C244" s="30">
        <v>45</v>
      </c>
      <c r="D244" s="101" t="s">
        <v>2472</v>
      </c>
      <c r="E244" s="183"/>
      <c r="F244" s="99"/>
    </row>
    <row r="245" spans="1:6" s="35" customFormat="1" x14ac:dyDescent="0.2">
      <c r="A245" s="68"/>
      <c r="B245" s="101" t="s">
        <v>353</v>
      </c>
      <c r="C245" s="30">
        <v>45</v>
      </c>
      <c r="D245" s="101">
        <v>300</v>
      </c>
      <c r="E245" s="183"/>
      <c r="F245" s="99">
        <v>15</v>
      </c>
    </row>
    <row r="246" spans="1:6" s="35" customFormat="1" x14ac:dyDescent="0.2">
      <c r="A246" s="68"/>
      <c r="B246" s="101" t="s">
        <v>353</v>
      </c>
      <c r="C246" s="30">
        <v>45</v>
      </c>
      <c r="D246" s="101" t="s">
        <v>1695</v>
      </c>
      <c r="E246" s="183"/>
      <c r="F246" s="99"/>
    </row>
    <row r="247" spans="1:6" s="35" customFormat="1" x14ac:dyDescent="0.2">
      <c r="A247" s="68"/>
      <c r="B247" s="101" t="s">
        <v>353</v>
      </c>
      <c r="C247" s="30">
        <v>45</v>
      </c>
      <c r="D247" s="101" t="s">
        <v>1696</v>
      </c>
      <c r="E247" s="183"/>
      <c r="F247" s="99"/>
    </row>
    <row r="248" spans="1:6" s="35" customFormat="1" x14ac:dyDescent="0.2">
      <c r="A248" s="68"/>
      <c r="B248" s="101" t="s">
        <v>353</v>
      </c>
      <c r="C248" s="30">
        <v>45</v>
      </c>
      <c r="D248" s="101" t="s">
        <v>1697</v>
      </c>
      <c r="E248" s="183"/>
      <c r="F248" s="99">
        <v>0.255</v>
      </c>
    </row>
    <row r="249" spans="1:6" s="35" customFormat="1" x14ac:dyDescent="0.2">
      <c r="A249" s="68"/>
      <c r="B249" s="101" t="s">
        <v>353</v>
      </c>
      <c r="C249" s="30">
        <v>45</v>
      </c>
      <c r="D249" s="101" t="s">
        <v>1698</v>
      </c>
      <c r="E249" s="25"/>
      <c r="F249" s="99"/>
    </row>
    <row r="250" spans="1:6" s="35" customFormat="1" x14ac:dyDescent="0.2">
      <c r="A250" s="68"/>
      <c r="B250" s="101" t="s">
        <v>353</v>
      </c>
      <c r="C250" s="30">
        <v>45</v>
      </c>
      <c r="D250" s="101" t="s">
        <v>1705</v>
      </c>
      <c r="E250" s="25"/>
      <c r="F250" s="99"/>
    </row>
    <row r="251" spans="1:6" s="35" customFormat="1" x14ac:dyDescent="0.2">
      <c r="A251" s="68"/>
      <c r="B251" s="101" t="s">
        <v>353</v>
      </c>
      <c r="C251" s="30">
        <v>45</v>
      </c>
      <c r="D251" s="101" t="s">
        <v>1706</v>
      </c>
      <c r="E251" s="25"/>
      <c r="F251" s="99">
        <v>0.35</v>
      </c>
    </row>
    <row r="252" spans="1:6" s="35" customFormat="1" x14ac:dyDescent="0.2">
      <c r="A252" s="68"/>
      <c r="B252" s="135" t="s">
        <v>353</v>
      </c>
      <c r="C252" s="137">
        <v>45</v>
      </c>
      <c r="D252" s="135" t="s">
        <v>1707</v>
      </c>
      <c r="E252" s="191"/>
      <c r="F252" s="136">
        <v>0.12</v>
      </c>
    </row>
    <row r="253" spans="1:6" s="35" customFormat="1" x14ac:dyDescent="0.2">
      <c r="A253" s="68"/>
      <c r="B253" s="101" t="s">
        <v>353</v>
      </c>
      <c r="C253" s="30">
        <v>45</v>
      </c>
      <c r="D253" s="101" t="s">
        <v>1708</v>
      </c>
      <c r="E253" s="25"/>
      <c r="F253" s="99">
        <v>0.08</v>
      </c>
    </row>
    <row r="254" spans="1:6" s="35" customFormat="1" x14ac:dyDescent="0.2">
      <c r="A254" s="68"/>
      <c r="B254" s="101" t="s">
        <v>353</v>
      </c>
      <c r="C254" s="30">
        <v>45</v>
      </c>
      <c r="D254" s="101" t="s">
        <v>2479</v>
      </c>
      <c r="E254" s="183"/>
      <c r="F254" s="99">
        <v>0.1</v>
      </c>
    </row>
    <row r="255" spans="1:6" s="35" customFormat="1" x14ac:dyDescent="0.2">
      <c r="A255" s="68"/>
      <c r="B255" s="101" t="s">
        <v>353</v>
      </c>
      <c r="C255" s="30">
        <v>45</v>
      </c>
      <c r="D255" s="101" t="s">
        <v>1713</v>
      </c>
      <c r="E255" s="25"/>
      <c r="F255" s="99">
        <v>2.2999999999999998</v>
      </c>
    </row>
    <row r="256" spans="1:6" s="35" customFormat="1" x14ac:dyDescent="0.2">
      <c r="A256" s="68"/>
      <c r="B256" s="101" t="s">
        <v>353</v>
      </c>
      <c r="C256" s="30">
        <v>45</v>
      </c>
      <c r="D256" s="101">
        <v>320</v>
      </c>
      <c r="E256" s="183"/>
      <c r="F256" s="99">
        <v>0.115</v>
      </c>
    </row>
    <row r="257" spans="1:6" s="35" customFormat="1" x14ac:dyDescent="0.2">
      <c r="A257" s="68"/>
      <c r="B257" s="101" t="s">
        <v>353</v>
      </c>
      <c r="C257" s="30">
        <v>45</v>
      </c>
      <c r="D257" s="101" t="s">
        <v>1716</v>
      </c>
      <c r="E257" s="183"/>
      <c r="F257" s="99">
        <v>1.91</v>
      </c>
    </row>
    <row r="258" spans="1:6" s="35" customFormat="1" x14ac:dyDescent="0.2">
      <c r="A258" s="68"/>
      <c r="B258" s="101" t="s">
        <v>353</v>
      </c>
      <c r="C258" s="30">
        <v>45</v>
      </c>
      <c r="D258" s="101" t="s">
        <v>2480</v>
      </c>
      <c r="E258" s="183"/>
      <c r="F258" s="99"/>
    </row>
    <row r="259" spans="1:6" s="35" customFormat="1" x14ac:dyDescent="0.2">
      <c r="A259" s="68"/>
      <c r="B259" s="101" t="s">
        <v>353</v>
      </c>
      <c r="C259" s="30">
        <v>45</v>
      </c>
      <c r="D259" s="101" t="s">
        <v>2481</v>
      </c>
      <c r="E259" s="183"/>
      <c r="F259" s="99">
        <v>7.4999999999999997E-2</v>
      </c>
    </row>
    <row r="260" spans="1:6" s="35" customFormat="1" x14ac:dyDescent="0.2">
      <c r="A260" s="68"/>
      <c r="B260" s="101" t="s">
        <v>353</v>
      </c>
      <c r="C260" s="30">
        <v>45</v>
      </c>
      <c r="D260" s="101">
        <v>330</v>
      </c>
      <c r="E260" s="183"/>
      <c r="F260" s="99">
        <f>11.19-1.34</f>
        <v>9.85</v>
      </c>
    </row>
    <row r="261" spans="1:6" s="35" customFormat="1" x14ac:dyDescent="0.2">
      <c r="A261" s="68"/>
      <c r="B261" s="101" t="s">
        <v>353</v>
      </c>
      <c r="C261" s="30">
        <v>45</v>
      </c>
      <c r="D261" s="101" t="s">
        <v>1729</v>
      </c>
      <c r="E261" s="183"/>
      <c r="F261" s="99">
        <v>1.53</v>
      </c>
    </row>
    <row r="262" spans="1:6" s="35" customFormat="1" x14ac:dyDescent="0.2">
      <c r="A262" s="68"/>
      <c r="B262" s="101" t="s">
        <v>353</v>
      </c>
      <c r="C262" s="30">
        <v>45</v>
      </c>
      <c r="D262" s="101" t="s">
        <v>2485</v>
      </c>
      <c r="E262" s="25"/>
      <c r="F262" s="99"/>
    </row>
    <row r="263" spans="1:6" s="35" customFormat="1" x14ac:dyDescent="0.2">
      <c r="A263" s="68"/>
      <c r="B263" s="101" t="s">
        <v>353</v>
      </c>
      <c r="C263" s="30">
        <v>45</v>
      </c>
      <c r="D263" s="101" t="s">
        <v>1730</v>
      </c>
      <c r="E263" s="183"/>
      <c r="F263" s="99">
        <v>3.58</v>
      </c>
    </row>
    <row r="264" spans="1:6" s="35" customFormat="1" x14ac:dyDescent="0.2">
      <c r="A264" s="68"/>
      <c r="B264" s="101" t="s">
        <v>353</v>
      </c>
      <c r="C264" s="30">
        <v>45</v>
      </c>
      <c r="D264" s="101" t="s">
        <v>1731</v>
      </c>
      <c r="E264" s="183"/>
      <c r="F264" s="99">
        <v>3.52</v>
      </c>
    </row>
    <row r="265" spans="1:6" s="35" customFormat="1" x14ac:dyDescent="0.2">
      <c r="A265" s="68"/>
      <c r="B265" s="101" t="s">
        <v>353</v>
      </c>
      <c r="C265" s="30">
        <v>45</v>
      </c>
      <c r="D265" s="101" t="s">
        <v>1732</v>
      </c>
      <c r="E265" s="183"/>
      <c r="F265" s="99">
        <v>6.58</v>
      </c>
    </row>
    <row r="266" spans="1:6" s="35" customFormat="1" x14ac:dyDescent="0.2">
      <c r="A266" s="68"/>
      <c r="B266" s="101" t="s">
        <v>353</v>
      </c>
      <c r="C266" s="30">
        <v>45</v>
      </c>
      <c r="D266" s="101" t="s">
        <v>1733</v>
      </c>
      <c r="E266" s="183"/>
      <c r="F266" s="99">
        <f>12.65-0.09</f>
        <v>12.56</v>
      </c>
    </row>
    <row r="267" spans="1:6" s="35" customFormat="1" x14ac:dyDescent="0.2">
      <c r="A267" s="68"/>
      <c r="B267" s="101" t="s">
        <v>353</v>
      </c>
      <c r="C267" s="30">
        <v>45</v>
      </c>
      <c r="D267" s="101" t="s">
        <v>1639</v>
      </c>
      <c r="E267" s="183"/>
      <c r="F267" s="99">
        <v>1.7</v>
      </c>
    </row>
    <row r="268" spans="1:6" s="35" customFormat="1" x14ac:dyDescent="0.2">
      <c r="A268" s="68"/>
      <c r="B268" s="101" t="s">
        <v>353</v>
      </c>
      <c r="C268" s="30">
        <v>45</v>
      </c>
      <c r="D268" s="101" t="s">
        <v>1738</v>
      </c>
      <c r="E268" s="183"/>
      <c r="F268" s="99">
        <v>2.12</v>
      </c>
    </row>
    <row r="269" spans="1:6" s="35" customFormat="1" x14ac:dyDescent="0.2">
      <c r="A269" s="68"/>
      <c r="B269" s="101" t="s">
        <v>353</v>
      </c>
      <c r="C269" s="30">
        <v>45</v>
      </c>
      <c r="D269" s="101">
        <v>340</v>
      </c>
      <c r="E269" s="183"/>
      <c r="F269" s="99">
        <v>10.92</v>
      </c>
    </row>
    <row r="270" spans="1:6" s="35" customFormat="1" x14ac:dyDescent="0.2">
      <c r="A270" s="68"/>
      <c r="B270" s="101" t="s">
        <v>353</v>
      </c>
      <c r="C270" s="30">
        <v>45</v>
      </c>
      <c r="D270" s="101">
        <v>340</v>
      </c>
      <c r="E270" s="183"/>
      <c r="F270" s="99">
        <v>2.72</v>
      </c>
    </row>
    <row r="271" spans="1:6" s="35" customFormat="1" x14ac:dyDescent="0.2">
      <c r="A271" s="68"/>
      <c r="B271" s="101" t="s">
        <v>353</v>
      </c>
      <c r="C271" s="30">
        <v>45</v>
      </c>
      <c r="D271" s="101">
        <v>340</v>
      </c>
      <c r="E271" s="183"/>
      <c r="F271" s="99">
        <f>5.6-1.92</f>
        <v>3.6799999999999997</v>
      </c>
    </row>
    <row r="272" spans="1:6" s="35" customFormat="1" x14ac:dyDescent="0.2">
      <c r="A272" s="68"/>
      <c r="B272" s="101" t="s">
        <v>353</v>
      </c>
      <c r="C272" s="30">
        <v>45</v>
      </c>
      <c r="D272" s="101" t="s">
        <v>2493</v>
      </c>
      <c r="E272" s="183"/>
      <c r="F272" s="99">
        <v>1.56</v>
      </c>
    </row>
    <row r="273" spans="1:6" s="35" customFormat="1" x14ac:dyDescent="0.2">
      <c r="A273" s="68"/>
      <c r="B273" s="101" t="s">
        <v>353</v>
      </c>
      <c r="C273" s="30">
        <v>45</v>
      </c>
      <c r="D273" s="101" t="s">
        <v>1740</v>
      </c>
      <c r="E273" s="183"/>
      <c r="F273" s="99"/>
    </row>
    <row r="274" spans="1:6" s="35" customFormat="1" x14ac:dyDescent="0.2">
      <c r="A274" s="68"/>
      <c r="B274" s="101" t="s">
        <v>353</v>
      </c>
      <c r="C274" s="30">
        <v>45</v>
      </c>
      <c r="D274" s="101" t="s">
        <v>1740</v>
      </c>
      <c r="E274" s="183"/>
      <c r="F274" s="99"/>
    </row>
    <row r="275" spans="1:6" s="35" customFormat="1" x14ac:dyDescent="0.2">
      <c r="A275" s="68"/>
      <c r="B275" s="101" t="s">
        <v>353</v>
      </c>
      <c r="C275" s="30">
        <v>45</v>
      </c>
      <c r="D275" s="101" t="s">
        <v>1741</v>
      </c>
      <c r="E275" s="183"/>
      <c r="F275" s="99"/>
    </row>
    <row r="276" spans="1:6" s="35" customFormat="1" x14ac:dyDescent="0.2">
      <c r="A276" s="68"/>
      <c r="B276" s="101" t="s">
        <v>353</v>
      </c>
      <c r="C276" s="30">
        <v>45</v>
      </c>
      <c r="D276" s="101" t="s">
        <v>1742</v>
      </c>
      <c r="E276" s="183"/>
      <c r="F276" s="99">
        <v>3.63</v>
      </c>
    </row>
    <row r="277" spans="1:6" s="35" customFormat="1" x14ac:dyDescent="0.2">
      <c r="A277" s="68"/>
      <c r="B277" s="101" t="s">
        <v>353</v>
      </c>
      <c r="C277" s="30">
        <v>45</v>
      </c>
      <c r="D277" s="101">
        <v>350</v>
      </c>
      <c r="E277" s="183"/>
      <c r="F277" s="99">
        <v>16.239999999999998</v>
      </c>
    </row>
    <row r="278" spans="1:6" s="35" customFormat="1" x14ac:dyDescent="0.2">
      <c r="A278" s="68"/>
      <c r="B278" s="101" t="s">
        <v>353</v>
      </c>
      <c r="C278" s="30">
        <v>45</v>
      </c>
      <c r="D278" s="101">
        <v>350</v>
      </c>
      <c r="E278" s="183"/>
      <c r="F278" s="99">
        <f>10.84+5.49-1.31-2.75-0.34-0.25-2.75-0.38-1.4</f>
        <v>7.1499999999999968</v>
      </c>
    </row>
    <row r="279" spans="1:6" x14ac:dyDescent="0.2">
      <c r="B279" s="101" t="s">
        <v>353</v>
      </c>
      <c r="C279" s="30">
        <v>45</v>
      </c>
      <c r="D279" s="101">
        <v>350</v>
      </c>
      <c r="E279" s="183"/>
      <c r="F279" s="99">
        <f>0.64+0.38+0.09</f>
        <v>1.1100000000000001</v>
      </c>
    </row>
    <row r="280" spans="1:6" x14ac:dyDescent="0.2">
      <c r="B280" s="101" t="s">
        <v>353</v>
      </c>
      <c r="C280" s="30">
        <v>45</v>
      </c>
      <c r="D280" s="101" t="s">
        <v>2498</v>
      </c>
      <c r="E280" s="183"/>
      <c r="F280" s="99">
        <v>4.53</v>
      </c>
    </row>
    <row r="281" spans="1:6" x14ac:dyDescent="0.2">
      <c r="B281" s="101" t="s">
        <v>353</v>
      </c>
      <c r="C281" s="30">
        <v>45</v>
      </c>
      <c r="D281" s="101" t="s">
        <v>2499</v>
      </c>
      <c r="E281" s="183"/>
      <c r="F281" s="99">
        <f>4.94+4.6</f>
        <v>9.5399999999999991</v>
      </c>
    </row>
    <row r="282" spans="1:6" x14ac:dyDescent="0.2">
      <c r="B282" s="101" t="s">
        <v>353</v>
      </c>
      <c r="C282" s="30">
        <v>45</v>
      </c>
      <c r="D282" s="101" t="s">
        <v>1760</v>
      </c>
      <c r="E282" s="183"/>
      <c r="F282" s="99"/>
    </row>
    <row r="283" spans="1:6" x14ac:dyDescent="0.2">
      <c r="B283" s="101" t="s">
        <v>353</v>
      </c>
      <c r="C283" s="30">
        <v>45</v>
      </c>
      <c r="D283" s="101" t="s">
        <v>1761</v>
      </c>
      <c r="E283" s="183"/>
      <c r="F283" s="99"/>
    </row>
    <row r="284" spans="1:6" x14ac:dyDescent="0.2">
      <c r="B284" s="101" t="s">
        <v>353</v>
      </c>
      <c r="C284" s="30">
        <v>45</v>
      </c>
      <c r="D284" s="101" t="s">
        <v>1762</v>
      </c>
      <c r="E284" s="25"/>
      <c r="F284" s="99">
        <v>2.04</v>
      </c>
    </row>
    <row r="285" spans="1:6" x14ac:dyDescent="0.2">
      <c r="B285" s="101" t="s">
        <v>353</v>
      </c>
      <c r="C285" s="30">
        <v>50</v>
      </c>
      <c r="D285" s="101" t="s">
        <v>1683</v>
      </c>
      <c r="E285" s="183"/>
      <c r="F285" s="99">
        <v>0.94</v>
      </c>
    </row>
    <row r="286" spans="1:6" x14ac:dyDescent="0.2">
      <c r="B286" s="101" t="s">
        <v>353</v>
      </c>
      <c r="C286" s="30">
        <v>50</v>
      </c>
      <c r="D286" s="101" t="s">
        <v>2486</v>
      </c>
      <c r="E286" s="183"/>
      <c r="F286" s="99">
        <v>5.2</v>
      </c>
    </row>
    <row r="287" spans="1:6" x14ac:dyDescent="0.2">
      <c r="B287" s="30" t="s">
        <v>353</v>
      </c>
      <c r="C287" s="30">
        <v>60</v>
      </c>
      <c r="D287" s="30">
        <v>120</v>
      </c>
      <c r="E287" s="101"/>
      <c r="F287" s="34">
        <f>(1.03)+0.62</f>
        <v>1.65</v>
      </c>
    </row>
    <row r="288" spans="1:6" x14ac:dyDescent="0.2">
      <c r="B288" s="30" t="s">
        <v>353</v>
      </c>
      <c r="C288" s="30" t="s">
        <v>399</v>
      </c>
      <c r="D288" s="30">
        <v>32</v>
      </c>
      <c r="E288" s="101"/>
      <c r="F288" s="99">
        <f>1.08-0.072+1.83-0.004-0.008-0.044-0.246-0.06-0.12-0.03-0.204-0.006-0.001-0.554-0.046-0.014-0.048-0.112-0.178-0.006-0.022-0.044-0.004-0.06-0.09-0.042-0.184-0.116-0.03-0.06</f>
        <v>0.50499999999999989</v>
      </c>
    </row>
    <row r="289" spans="1:6" x14ac:dyDescent="0.2">
      <c r="B289" s="30" t="s">
        <v>353</v>
      </c>
      <c r="C289" s="30" t="s">
        <v>399</v>
      </c>
      <c r="D289" s="30">
        <v>120</v>
      </c>
      <c r="E289" s="101"/>
      <c r="F289" s="99">
        <f>5.695-0.526-0.095-0.016+17.225+10.874-0.112-0.29-0.29-12.454-0.262-0.24-0.23-0.518-5.16-0.794-0.052</f>
        <v>12.755000000000003</v>
      </c>
    </row>
    <row r="290" spans="1:6" x14ac:dyDescent="0.2">
      <c r="B290" s="101" t="s">
        <v>353</v>
      </c>
      <c r="C290" s="30" t="s">
        <v>850</v>
      </c>
      <c r="D290" s="101">
        <v>170</v>
      </c>
      <c r="E290" s="183"/>
      <c r="F290" s="99">
        <v>0.37</v>
      </c>
    </row>
    <row r="291" spans="1:6" x14ac:dyDescent="0.2">
      <c r="B291" s="36" t="s">
        <v>353</v>
      </c>
      <c r="C291" s="94" t="s">
        <v>835</v>
      </c>
      <c r="D291" s="62">
        <v>120</v>
      </c>
      <c r="E291" s="70">
        <v>1.86</v>
      </c>
      <c r="F291" s="70">
        <v>0.18</v>
      </c>
    </row>
    <row r="292" spans="1:6" s="35" customFormat="1" x14ac:dyDescent="0.2">
      <c r="A292" s="68"/>
      <c r="B292" s="101" t="s">
        <v>353</v>
      </c>
      <c r="C292" s="30" t="s">
        <v>1621</v>
      </c>
      <c r="D292" s="101">
        <v>150</v>
      </c>
      <c r="E292" s="25"/>
      <c r="F292" s="99">
        <v>0.12</v>
      </c>
    </row>
    <row r="293" spans="1:6" s="35" customFormat="1" x14ac:dyDescent="0.2">
      <c r="A293" s="68"/>
      <c r="B293" s="101" t="s">
        <v>353</v>
      </c>
      <c r="C293" s="30" t="s">
        <v>1627</v>
      </c>
      <c r="D293" s="101" t="s">
        <v>1628</v>
      </c>
      <c r="E293" s="183"/>
      <c r="F293" s="99"/>
    </row>
    <row r="294" spans="1:6" s="35" customFormat="1" x14ac:dyDescent="0.2">
      <c r="A294" s="68"/>
      <c r="B294" s="4" t="s">
        <v>353</v>
      </c>
      <c r="C294" s="174" t="s">
        <v>702</v>
      </c>
      <c r="D294" s="37" t="s">
        <v>659</v>
      </c>
      <c r="E294" s="5" t="s">
        <v>192</v>
      </c>
      <c r="F294" s="39">
        <v>6.54</v>
      </c>
    </row>
    <row r="295" spans="1:6" s="35" customFormat="1" x14ac:dyDescent="0.2">
      <c r="A295" s="68"/>
      <c r="B295" s="36" t="s">
        <v>353</v>
      </c>
      <c r="C295" s="94" t="s">
        <v>829</v>
      </c>
      <c r="D295" s="62">
        <v>122</v>
      </c>
      <c r="E295" s="70"/>
      <c r="F295" s="70">
        <v>0.19</v>
      </c>
    </row>
    <row r="296" spans="1:6" s="35" customFormat="1" x14ac:dyDescent="0.2">
      <c r="A296" s="68"/>
      <c r="B296" s="4" t="s">
        <v>353</v>
      </c>
      <c r="C296" s="173" t="s">
        <v>210</v>
      </c>
      <c r="D296" s="63" t="s">
        <v>154</v>
      </c>
      <c r="E296" s="4">
        <v>6</v>
      </c>
      <c r="F296" s="38" t="s">
        <v>162</v>
      </c>
    </row>
    <row r="297" spans="1:6" s="35" customFormat="1" x14ac:dyDescent="0.2">
      <c r="A297" s="68"/>
      <c r="B297" s="4" t="s">
        <v>353</v>
      </c>
      <c r="C297" s="174" t="s">
        <v>210</v>
      </c>
      <c r="D297" s="37" t="s">
        <v>663</v>
      </c>
      <c r="E297" s="4" t="s">
        <v>28</v>
      </c>
      <c r="F297" s="39">
        <v>1.1399999999999999</v>
      </c>
    </row>
    <row r="298" spans="1:6" s="35" customFormat="1" x14ac:dyDescent="0.2">
      <c r="A298" s="68"/>
      <c r="B298" s="78" t="s">
        <v>353</v>
      </c>
      <c r="C298" s="174" t="s">
        <v>210</v>
      </c>
      <c r="D298" s="2">
        <v>220</v>
      </c>
      <c r="E298" s="4" t="s">
        <v>28</v>
      </c>
      <c r="F298" s="39">
        <v>0.185</v>
      </c>
    </row>
    <row r="299" spans="1:6" s="35" customFormat="1" x14ac:dyDescent="0.2">
      <c r="A299" s="68"/>
      <c r="B299" s="78" t="s">
        <v>353</v>
      </c>
      <c r="C299" s="174" t="s">
        <v>210</v>
      </c>
      <c r="D299" s="2" t="s">
        <v>114</v>
      </c>
      <c r="E299" s="4"/>
      <c r="F299" s="39">
        <v>0.09</v>
      </c>
    </row>
    <row r="300" spans="1:6" s="35" customFormat="1" x14ac:dyDescent="0.2">
      <c r="A300" s="68"/>
      <c r="B300" s="78" t="s">
        <v>353</v>
      </c>
      <c r="C300" s="174" t="s">
        <v>210</v>
      </c>
      <c r="D300" s="2" t="s">
        <v>107</v>
      </c>
      <c r="E300" s="4"/>
      <c r="F300" s="39">
        <v>1.42</v>
      </c>
    </row>
    <row r="301" spans="1:6" s="35" customFormat="1" x14ac:dyDescent="0.2">
      <c r="A301" s="68"/>
      <c r="B301" s="30" t="s">
        <v>353</v>
      </c>
      <c r="C301" s="30" t="s">
        <v>210</v>
      </c>
      <c r="D301" s="30">
        <v>80</v>
      </c>
      <c r="E301" s="101"/>
      <c r="F301" s="34">
        <v>0.76</v>
      </c>
    </row>
    <row r="302" spans="1:6" s="35" customFormat="1" x14ac:dyDescent="0.2">
      <c r="A302" s="68"/>
      <c r="B302" s="101" t="s">
        <v>353</v>
      </c>
      <c r="C302" s="30" t="s">
        <v>210</v>
      </c>
      <c r="D302" s="101">
        <v>22</v>
      </c>
      <c r="E302" s="183"/>
      <c r="F302" s="99">
        <f>44.385-3.99-0.02-1-0.05-0.035-0.055-0.64-0.02-2.62-0.02-0.02-5-0.16-0.015-0.22-0.035-0.09-0.09</f>
        <v>30.304999999999993</v>
      </c>
    </row>
    <row r="303" spans="1:6" s="35" customFormat="1" x14ac:dyDescent="0.2">
      <c r="A303" s="68"/>
      <c r="B303" s="101" t="s">
        <v>353</v>
      </c>
      <c r="C303" s="30" t="s">
        <v>210</v>
      </c>
      <c r="D303" s="101">
        <v>50</v>
      </c>
      <c r="E303" s="25"/>
      <c r="F303" s="99">
        <f>25-0.28-0.45-0.27-2.51-0.09-0.14-0.09-1.5-2.49-4.98-0.09-2.44-0.035-0.08-0.09</f>
        <v>9.4649999999999999</v>
      </c>
    </row>
    <row r="304" spans="1:6" s="35" customFormat="1" x14ac:dyDescent="0.2">
      <c r="A304" s="68"/>
      <c r="B304" s="101" t="s">
        <v>353</v>
      </c>
      <c r="C304" s="30" t="s">
        <v>210</v>
      </c>
      <c r="D304" s="101" t="s">
        <v>1561</v>
      </c>
      <c r="E304" s="25"/>
      <c r="F304" s="99">
        <v>25</v>
      </c>
    </row>
    <row r="305" spans="1:6" s="35" customFormat="1" x14ac:dyDescent="0.2">
      <c r="A305" s="68"/>
      <c r="B305" s="101" t="s">
        <v>353</v>
      </c>
      <c r="C305" s="30" t="s">
        <v>210</v>
      </c>
      <c r="D305" s="101">
        <v>52</v>
      </c>
      <c r="E305" s="25"/>
      <c r="F305" s="99">
        <f>6.15-0.1-0.1-0.285-0.035-0.1</f>
        <v>5.5300000000000011</v>
      </c>
    </row>
    <row r="306" spans="1:6" s="35" customFormat="1" x14ac:dyDescent="0.2">
      <c r="A306" s="68"/>
      <c r="B306" s="101" t="s">
        <v>353</v>
      </c>
      <c r="C306" s="30" t="s">
        <v>210</v>
      </c>
      <c r="D306" s="101">
        <v>90</v>
      </c>
      <c r="E306" s="101"/>
      <c r="F306" s="99">
        <v>1.38</v>
      </c>
    </row>
    <row r="307" spans="1:6" s="35" customFormat="1" x14ac:dyDescent="0.2">
      <c r="A307" s="68"/>
      <c r="B307" s="101" t="s">
        <v>353</v>
      </c>
      <c r="C307" s="30" t="s">
        <v>210</v>
      </c>
      <c r="D307" s="101">
        <v>300</v>
      </c>
      <c r="E307" s="183"/>
      <c r="F307" s="99">
        <f>2.35+2.3+2.4</f>
        <v>7.0500000000000007</v>
      </c>
    </row>
    <row r="308" spans="1:6" s="35" customFormat="1" x14ac:dyDescent="0.2">
      <c r="A308" s="68"/>
      <c r="B308" s="101" t="s">
        <v>353</v>
      </c>
      <c r="C308" s="30" t="s">
        <v>210</v>
      </c>
      <c r="D308" s="101">
        <v>300</v>
      </c>
      <c r="E308" s="183"/>
      <c r="F308" s="99">
        <v>2.41</v>
      </c>
    </row>
    <row r="309" spans="1:6" s="35" customFormat="1" x14ac:dyDescent="0.2">
      <c r="A309" s="68"/>
      <c r="B309" s="101" t="s">
        <v>353</v>
      </c>
      <c r="C309" s="30" t="s">
        <v>210</v>
      </c>
      <c r="D309" s="101">
        <v>310</v>
      </c>
      <c r="E309" s="183"/>
      <c r="F309" s="99">
        <v>2.6</v>
      </c>
    </row>
    <row r="310" spans="1:6" s="35" customFormat="1" x14ac:dyDescent="0.2">
      <c r="A310" s="68"/>
      <c r="B310" s="36" t="s">
        <v>353</v>
      </c>
      <c r="C310" s="94" t="s">
        <v>836</v>
      </c>
      <c r="D310" s="62">
        <v>330</v>
      </c>
      <c r="E310" s="70">
        <v>2.7</v>
      </c>
      <c r="F310" s="70">
        <v>1.9</v>
      </c>
    </row>
    <row r="311" spans="1:6" s="35" customFormat="1" x14ac:dyDescent="0.2">
      <c r="A311" s="68"/>
      <c r="B311" s="101" t="s">
        <v>353</v>
      </c>
      <c r="C311" s="30" t="s">
        <v>1538</v>
      </c>
      <c r="D311" s="101">
        <v>22</v>
      </c>
      <c r="E311" s="183"/>
      <c r="F311" s="99">
        <f>6.48-0.235-0.515-0.41-1.015-0.31-0.2-0.115-0.5-0.46-0.325-0.02-0.08-0.04-0.08-0.015-0.31-0.805-0.02</f>
        <v>1.0249999999999995</v>
      </c>
    </row>
    <row r="312" spans="1:6" s="35" customFormat="1" x14ac:dyDescent="0.2">
      <c r="A312" s="68"/>
      <c r="B312" s="36" t="s">
        <v>353</v>
      </c>
      <c r="C312" s="94" t="s">
        <v>837</v>
      </c>
      <c r="D312" s="62">
        <v>130</v>
      </c>
      <c r="E312" s="70">
        <v>1.7</v>
      </c>
      <c r="F312" s="70">
        <v>0.56999999999999995</v>
      </c>
    </row>
    <row r="313" spans="1:6" s="35" customFormat="1" x14ac:dyDescent="0.2">
      <c r="A313" s="68"/>
      <c r="B313" s="36" t="s">
        <v>353</v>
      </c>
      <c r="C313" s="94" t="s">
        <v>812</v>
      </c>
      <c r="D313" s="62">
        <v>90</v>
      </c>
      <c r="E313" s="70">
        <v>2.5</v>
      </c>
      <c r="F313" s="70">
        <v>1.68</v>
      </c>
    </row>
    <row r="314" spans="1:6" s="35" customFormat="1" x14ac:dyDescent="0.2">
      <c r="A314" s="68"/>
      <c r="B314" s="30" t="s">
        <v>353</v>
      </c>
      <c r="C314" s="30" t="s">
        <v>1198</v>
      </c>
      <c r="D314" s="30">
        <v>200</v>
      </c>
      <c r="E314" s="101"/>
      <c r="F314" s="99">
        <v>0.47</v>
      </c>
    </row>
    <row r="315" spans="1:6" s="35" customFormat="1" x14ac:dyDescent="0.2">
      <c r="A315" s="68"/>
      <c r="B315" s="36" t="s">
        <v>353</v>
      </c>
      <c r="C315" s="94" t="s">
        <v>248</v>
      </c>
      <c r="D315" s="62">
        <v>65</v>
      </c>
      <c r="E315" s="70">
        <v>2.0699999999999998</v>
      </c>
      <c r="F315" s="70">
        <v>0.21</v>
      </c>
    </row>
    <row r="316" spans="1:6" s="35" customFormat="1" x14ac:dyDescent="0.2">
      <c r="A316" s="68"/>
      <c r="B316" s="36" t="s">
        <v>353</v>
      </c>
      <c r="C316" s="94" t="s">
        <v>248</v>
      </c>
      <c r="D316" s="62">
        <v>120</v>
      </c>
      <c r="E316" s="70">
        <v>2.65</v>
      </c>
      <c r="F316" s="70">
        <v>0.24</v>
      </c>
    </row>
    <row r="317" spans="1:6" s="35" customFormat="1" x14ac:dyDescent="0.2">
      <c r="A317" s="68"/>
      <c r="B317" s="4" t="s">
        <v>353</v>
      </c>
      <c r="C317" s="173" t="s">
        <v>281</v>
      </c>
      <c r="D317" s="62">
        <v>14</v>
      </c>
      <c r="E317" s="4">
        <v>3</v>
      </c>
      <c r="F317" s="70">
        <v>0.08</v>
      </c>
    </row>
    <row r="318" spans="1:6" s="35" customFormat="1" x14ac:dyDescent="0.2">
      <c r="A318" s="68"/>
      <c r="B318" s="4" t="s">
        <v>353</v>
      </c>
      <c r="C318" s="173" t="s">
        <v>281</v>
      </c>
      <c r="D318" s="63">
        <v>16</v>
      </c>
      <c r="E318" s="4" t="s">
        <v>147</v>
      </c>
      <c r="F318" s="38">
        <v>0.66500000000000004</v>
      </c>
    </row>
    <row r="319" spans="1:6" s="35" customFormat="1" x14ac:dyDescent="0.2">
      <c r="A319" s="68"/>
      <c r="B319" s="101" t="s">
        <v>353</v>
      </c>
      <c r="C319" s="30" t="s">
        <v>281</v>
      </c>
      <c r="D319" s="101">
        <v>32</v>
      </c>
      <c r="E319" s="25"/>
      <c r="F319" s="99">
        <f>0.96-0.04</f>
        <v>0.91999999999999993</v>
      </c>
    </row>
    <row r="320" spans="1:6" s="35" customFormat="1" x14ac:dyDescent="0.2">
      <c r="A320" s="68"/>
      <c r="B320" s="101" t="s">
        <v>353</v>
      </c>
      <c r="C320" s="30" t="s">
        <v>1636</v>
      </c>
      <c r="D320" s="101" t="s">
        <v>1637</v>
      </c>
      <c r="E320" s="183"/>
      <c r="F320" s="99"/>
    </row>
    <row r="321" spans="1:6" s="35" customFormat="1" x14ac:dyDescent="0.2">
      <c r="A321" s="68"/>
      <c r="B321" s="4" t="s">
        <v>353</v>
      </c>
      <c r="C321" s="173" t="s">
        <v>314</v>
      </c>
      <c r="D321" s="63" t="s">
        <v>184</v>
      </c>
      <c r="E321" s="4" t="s">
        <v>163</v>
      </c>
      <c r="F321" s="38">
        <v>0.14000000000000001</v>
      </c>
    </row>
    <row r="322" spans="1:6" s="35" customFormat="1" x14ac:dyDescent="0.2">
      <c r="A322" s="68"/>
      <c r="B322" s="4" t="s">
        <v>353</v>
      </c>
      <c r="C322" s="173" t="s">
        <v>314</v>
      </c>
      <c r="D322" s="63" t="s">
        <v>655</v>
      </c>
      <c r="E322" s="4" t="s">
        <v>165</v>
      </c>
      <c r="F322" s="38">
        <v>0.23</v>
      </c>
    </row>
    <row r="323" spans="1:6" s="35" customFormat="1" x14ac:dyDescent="0.2">
      <c r="A323" s="68"/>
      <c r="B323" s="4" t="s">
        <v>353</v>
      </c>
      <c r="C323" s="173" t="s">
        <v>314</v>
      </c>
      <c r="D323" s="63" t="s">
        <v>765</v>
      </c>
      <c r="E323" s="4" t="s">
        <v>766</v>
      </c>
      <c r="F323" s="38">
        <v>0.23</v>
      </c>
    </row>
    <row r="324" spans="1:6" s="35" customFormat="1" x14ac:dyDescent="0.2">
      <c r="A324" s="68"/>
      <c r="B324" s="4" t="s">
        <v>353</v>
      </c>
      <c r="C324" s="173" t="s">
        <v>314</v>
      </c>
      <c r="D324" s="63" t="s">
        <v>661</v>
      </c>
      <c r="E324" s="4" t="s">
        <v>767</v>
      </c>
      <c r="F324" s="38">
        <v>1.24</v>
      </c>
    </row>
    <row r="325" spans="1:6" s="35" customFormat="1" x14ac:dyDescent="0.2">
      <c r="A325" s="68"/>
      <c r="B325" s="4" t="s">
        <v>353</v>
      </c>
      <c r="C325" s="173" t="s">
        <v>314</v>
      </c>
      <c r="D325" s="63" t="s">
        <v>663</v>
      </c>
      <c r="E325" s="4" t="s">
        <v>768</v>
      </c>
      <c r="F325" s="38">
        <v>2.14</v>
      </c>
    </row>
    <row r="326" spans="1:6" s="35" customFormat="1" x14ac:dyDescent="0.2">
      <c r="A326" s="68"/>
      <c r="B326" s="4" t="s">
        <v>353</v>
      </c>
      <c r="C326" s="177" t="s">
        <v>314</v>
      </c>
      <c r="D326" s="37" t="s">
        <v>668</v>
      </c>
      <c r="E326" s="4" t="s">
        <v>25</v>
      </c>
      <c r="F326" s="38">
        <v>1.3</v>
      </c>
    </row>
    <row r="327" spans="1:6" s="35" customFormat="1" x14ac:dyDescent="0.2">
      <c r="A327" s="68"/>
      <c r="B327" s="36" t="s">
        <v>353</v>
      </c>
      <c r="C327" s="176" t="s">
        <v>314</v>
      </c>
      <c r="D327" s="37" t="s">
        <v>672</v>
      </c>
      <c r="E327" s="4" t="s">
        <v>770</v>
      </c>
      <c r="F327" s="38">
        <v>1.4</v>
      </c>
    </row>
    <row r="328" spans="1:6" ht="12.95" customHeight="1" x14ac:dyDescent="0.2">
      <c r="B328" s="36" t="s">
        <v>353</v>
      </c>
      <c r="C328" s="176" t="s">
        <v>314</v>
      </c>
      <c r="D328" s="37" t="s">
        <v>769</v>
      </c>
      <c r="E328" s="4">
        <v>4.0999999999999996</v>
      </c>
      <c r="F328" s="38">
        <v>0.9</v>
      </c>
    </row>
    <row r="329" spans="1:6" ht="12.95" customHeight="1" x14ac:dyDescent="0.2">
      <c r="B329" s="36" t="s">
        <v>353</v>
      </c>
      <c r="C329" s="176" t="s">
        <v>314</v>
      </c>
      <c r="D329" s="36">
        <v>500</v>
      </c>
      <c r="E329" s="44">
        <v>0.25</v>
      </c>
      <c r="F329" s="45">
        <v>1.18</v>
      </c>
    </row>
    <row r="330" spans="1:6" ht="12.95" customHeight="1" x14ac:dyDescent="0.2">
      <c r="B330" s="4" t="s">
        <v>353</v>
      </c>
      <c r="C330" s="174" t="s">
        <v>314</v>
      </c>
      <c r="D330" s="37" t="s">
        <v>644</v>
      </c>
      <c r="E330" s="77"/>
      <c r="F330" s="39">
        <v>5.52</v>
      </c>
    </row>
    <row r="331" spans="1:6" ht="12.95" customHeight="1" x14ac:dyDescent="0.2">
      <c r="B331" s="101" t="s">
        <v>353</v>
      </c>
      <c r="C331" s="30" t="s">
        <v>314</v>
      </c>
      <c r="D331" s="101">
        <v>40</v>
      </c>
      <c r="E331" s="183"/>
      <c r="F331" s="99">
        <f>2.04-0.095-0.1-0.32-0.035-0.05-0.05-0.1-0.05</f>
        <v>1.2399999999999998</v>
      </c>
    </row>
    <row r="332" spans="1:6" s="35" customFormat="1" x14ac:dyDescent="0.2">
      <c r="A332" s="68"/>
      <c r="B332" s="101" t="s">
        <v>353</v>
      </c>
      <c r="C332" s="30" t="s">
        <v>314</v>
      </c>
      <c r="D332" s="101" t="s">
        <v>1554</v>
      </c>
      <c r="E332" s="183"/>
      <c r="F332" s="99">
        <f>2.04-0.095-0.1-0.32-0.035-0.05-0.05-0.1-0.05-0.1-0.05-0.235-0.08</f>
        <v>0.77499999999999969</v>
      </c>
    </row>
    <row r="333" spans="1:6" s="35" customFormat="1" x14ac:dyDescent="0.2">
      <c r="A333" s="68"/>
      <c r="B333" s="135" t="s">
        <v>353</v>
      </c>
      <c r="C333" s="137" t="s">
        <v>314</v>
      </c>
      <c r="D333" s="135">
        <v>50</v>
      </c>
      <c r="E333" s="191"/>
      <c r="F333" s="136">
        <f>0.77-0.05-0.17</f>
        <v>0.54999999999999993</v>
      </c>
    </row>
    <row r="334" spans="1:6" s="35" customFormat="1" x14ac:dyDescent="0.2">
      <c r="A334" s="68"/>
      <c r="B334" s="101" t="s">
        <v>353</v>
      </c>
      <c r="C334" s="30" t="s">
        <v>314</v>
      </c>
      <c r="D334" s="101">
        <v>105</v>
      </c>
      <c r="E334" s="183"/>
      <c r="F334" s="99">
        <v>7.12</v>
      </c>
    </row>
    <row r="335" spans="1:6" s="35" customFormat="1" x14ac:dyDescent="0.2">
      <c r="A335" s="68"/>
      <c r="B335" s="101" t="s">
        <v>353</v>
      </c>
      <c r="C335" s="30" t="s">
        <v>314</v>
      </c>
      <c r="D335" s="101" t="s">
        <v>2446</v>
      </c>
      <c r="E335" s="183"/>
      <c r="F335" s="99">
        <f>21.17-0.71-0.7-0.71-0.7-0.74-0.33-2.18-0.365-0.72+9.77-0.215-0.32-0.15</f>
        <v>23.100000000000005</v>
      </c>
    </row>
    <row r="336" spans="1:6" s="35" customFormat="1" x14ac:dyDescent="0.2">
      <c r="A336" s="68"/>
      <c r="B336" s="101" t="s">
        <v>353</v>
      </c>
      <c r="C336" s="30" t="s">
        <v>314</v>
      </c>
      <c r="D336" s="101">
        <v>160</v>
      </c>
      <c r="E336" s="183"/>
      <c r="F336" s="99">
        <v>4.45</v>
      </c>
    </row>
    <row r="337" spans="1:6" s="35" customFormat="1" x14ac:dyDescent="0.2">
      <c r="A337" s="68"/>
      <c r="B337" s="4" t="s">
        <v>353</v>
      </c>
      <c r="C337" s="174" t="s">
        <v>709</v>
      </c>
      <c r="D337" s="37" t="s">
        <v>665</v>
      </c>
      <c r="E337" s="5" t="s">
        <v>193</v>
      </c>
      <c r="F337" s="39">
        <v>1.1599999999999999</v>
      </c>
    </row>
    <row r="338" spans="1:6" ht="12.95" customHeight="1" x14ac:dyDescent="0.2">
      <c r="B338" s="4" t="s">
        <v>353</v>
      </c>
      <c r="C338" s="174" t="s">
        <v>705</v>
      </c>
      <c r="D338" s="37" t="s">
        <v>660</v>
      </c>
      <c r="E338" s="5" t="s">
        <v>37</v>
      </c>
      <c r="F338" s="39">
        <v>0.91</v>
      </c>
    </row>
    <row r="339" spans="1:6" x14ac:dyDescent="0.2">
      <c r="B339" s="135" t="s">
        <v>353</v>
      </c>
      <c r="C339" s="137" t="s">
        <v>705</v>
      </c>
      <c r="D339" s="135">
        <v>48</v>
      </c>
      <c r="E339" s="191"/>
      <c r="F339" s="136">
        <f>0.47-0.12-0.215-0.03</f>
        <v>0.10499999999999998</v>
      </c>
    </row>
    <row r="340" spans="1:6" s="35" customFormat="1" x14ac:dyDescent="0.2">
      <c r="A340" s="68"/>
      <c r="B340" s="101" t="s">
        <v>353</v>
      </c>
      <c r="C340" s="30" t="s">
        <v>705</v>
      </c>
      <c r="D340" s="101">
        <v>80</v>
      </c>
      <c r="E340" s="25"/>
      <c r="F340" s="99">
        <f>1.07-0.12-0.25</f>
        <v>0.70000000000000007</v>
      </c>
    </row>
    <row r="341" spans="1:6" x14ac:dyDescent="0.2">
      <c r="B341" s="101" t="s">
        <v>353</v>
      </c>
      <c r="C341" s="30" t="s">
        <v>1592</v>
      </c>
      <c r="D341" s="101">
        <v>90</v>
      </c>
      <c r="E341" s="25"/>
      <c r="F341" s="99">
        <v>0.12</v>
      </c>
    </row>
    <row r="342" spans="1:6" x14ac:dyDescent="0.2">
      <c r="B342" s="101" t="s">
        <v>353</v>
      </c>
      <c r="C342" s="30" t="s">
        <v>705</v>
      </c>
      <c r="D342" s="101">
        <v>100</v>
      </c>
      <c r="E342" s="25"/>
      <c r="F342" s="99">
        <f>20.02-0.3-0.57+0.185</f>
        <v>19.334999999999997</v>
      </c>
    </row>
    <row r="343" spans="1:6" x14ac:dyDescent="0.2">
      <c r="B343" s="4" t="s">
        <v>353</v>
      </c>
      <c r="C343" s="174" t="s">
        <v>478</v>
      </c>
      <c r="D343" s="63" t="s">
        <v>667</v>
      </c>
      <c r="E343" s="4" t="s">
        <v>175</v>
      </c>
      <c r="F343" s="40">
        <v>0.89</v>
      </c>
    </row>
    <row r="344" spans="1:6" x14ac:dyDescent="0.2">
      <c r="B344" s="101" t="s">
        <v>353</v>
      </c>
      <c r="C344" s="30" t="s">
        <v>1612</v>
      </c>
      <c r="D344" s="101">
        <v>140</v>
      </c>
      <c r="E344" s="183"/>
      <c r="F344" s="99">
        <f>4.13-0.73-0.72-2.05</f>
        <v>0.62999999999999989</v>
      </c>
    </row>
    <row r="345" spans="1:6" x14ac:dyDescent="0.2">
      <c r="B345" s="101" t="s">
        <v>353</v>
      </c>
      <c r="C345" s="30" t="s">
        <v>1611</v>
      </c>
      <c r="D345" s="101">
        <v>150</v>
      </c>
      <c r="E345" s="183"/>
      <c r="F345" s="99">
        <v>0.35</v>
      </c>
    </row>
    <row r="346" spans="1:6" x14ac:dyDescent="0.2">
      <c r="B346" s="101" t="s">
        <v>353</v>
      </c>
      <c r="C346" s="30" t="s">
        <v>1570</v>
      </c>
      <c r="D346" s="101">
        <v>60</v>
      </c>
      <c r="E346" s="25"/>
      <c r="F346" s="99">
        <v>0.18</v>
      </c>
    </row>
    <row r="347" spans="1:6" x14ac:dyDescent="0.2">
      <c r="B347" s="4" t="s">
        <v>353</v>
      </c>
      <c r="C347" s="174" t="s">
        <v>712</v>
      </c>
      <c r="D347" s="37" t="s">
        <v>646</v>
      </c>
      <c r="E347" s="5"/>
      <c r="F347" s="39">
        <v>5.72</v>
      </c>
    </row>
    <row r="348" spans="1:6" x14ac:dyDescent="0.2">
      <c r="B348" s="4" t="s">
        <v>353</v>
      </c>
      <c r="C348" s="174" t="s">
        <v>817</v>
      </c>
      <c r="D348" s="37" t="s">
        <v>830</v>
      </c>
      <c r="E348" s="5" t="s">
        <v>734</v>
      </c>
      <c r="F348" s="39">
        <v>0.13</v>
      </c>
    </row>
    <row r="349" spans="1:6" x14ac:dyDescent="0.2">
      <c r="B349" s="101" t="s">
        <v>353</v>
      </c>
      <c r="C349" s="30" t="s">
        <v>1560</v>
      </c>
      <c r="D349" s="101">
        <v>48</v>
      </c>
      <c r="E349" s="25"/>
      <c r="F349" s="99">
        <f>0.34-0.115</f>
        <v>0.22500000000000003</v>
      </c>
    </row>
    <row r="350" spans="1:6" x14ac:dyDescent="0.2">
      <c r="B350" s="4" t="s">
        <v>353</v>
      </c>
      <c r="C350" s="173" t="s">
        <v>216</v>
      </c>
      <c r="D350" s="37" t="s">
        <v>184</v>
      </c>
      <c r="E350" s="5">
        <v>4</v>
      </c>
      <c r="F350" s="39">
        <v>1.5</v>
      </c>
    </row>
    <row r="351" spans="1:6" x14ac:dyDescent="0.2">
      <c r="B351" s="4" t="s">
        <v>353</v>
      </c>
      <c r="C351" s="173" t="s">
        <v>216</v>
      </c>
      <c r="D351" s="37" t="s">
        <v>657</v>
      </c>
      <c r="E351" s="5" t="s">
        <v>29</v>
      </c>
      <c r="F351" s="39">
        <v>6.91</v>
      </c>
    </row>
    <row r="352" spans="1:6" x14ac:dyDescent="0.2">
      <c r="B352" s="4" t="s">
        <v>353</v>
      </c>
      <c r="C352" s="174" t="s">
        <v>216</v>
      </c>
      <c r="D352" s="37" t="s">
        <v>661</v>
      </c>
      <c r="E352" s="5" t="s">
        <v>171</v>
      </c>
      <c r="F352" s="39">
        <v>0.24</v>
      </c>
    </row>
    <row r="353" spans="1:6" s="35" customFormat="1" x14ac:dyDescent="0.2">
      <c r="A353" s="68"/>
      <c r="B353" s="4" t="s">
        <v>353</v>
      </c>
      <c r="C353" s="174" t="s">
        <v>216</v>
      </c>
      <c r="D353" s="37" t="s">
        <v>664</v>
      </c>
      <c r="E353" s="5" t="s">
        <v>40</v>
      </c>
      <c r="F353" s="39">
        <v>0.64500000000000002</v>
      </c>
    </row>
    <row r="354" spans="1:6" x14ac:dyDescent="0.2">
      <c r="B354" s="4" t="s">
        <v>353</v>
      </c>
      <c r="C354" s="173" t="s">
        <v>216</v>
      </c>
      <c r="D354" s="37" t="s">
        <v>718</v>
      </c>
      <c r="E354" s="5" t="s">
        <v>735</v>
      </c>
      <c r="F354" s="39">
        <v>0.94</v>
      </c>
    </row>
    <row r="355" spans="1:6" x14ac:dyDescent="0.2">
      <c r="B355" s="101" t="s">
        <v>353</v>
      </c>
      <c r="C355" s="30" t="s">
        <v>216</v>
      </c>
      <c r="D355" s="101" t="s">
        <v>1535</v>
      </c>
      <c r="E355" s="25"/>
      <c r="F355" s="99">
        <f>1.86-0.01-0.305-0.01-0.1-0.04-0.05-0.06-0.12-0.075-0.06-0.105-0.01-0.01-0.1</f>
        <v>0.80500000000000005</v>
      </c>
    </row>
    <row r="356" spans="1:6" x14ac:dyDescent="0.2">
      <c r="B356" s="101" t="s">
        <v>353</v>
      </c>
      <c r="C356" s="30" t="s">
        <v>216</v>
      </c>
      <c r="D356" s="101">
        <v>30</v>
      </c>
      <c r="E356" s="183"/>
      <c r="F356" s="99">
        <f>2.12-0.025-0.11-0.025-0.025-0.04-0.11-0.11-0.21-0.02-0.02</f>
        <v>1.425</v>
      </c>
    </row>
    <row r="357" spans="1:6" x14ac:dyDescent="0.2">
      <c r="B357" s="101" t="s">
        <v>353</v>
      </c>
      <c r="C357" s="30" t="s">
        <v>216</v>
      </c>
      <c r="D357" s="101">
        <v>30</v>
      </c>
      <c r="E357" s="183"/>
      <c r="F357" s="99">
        <v>0.16</v>
      </c>
    </row>
    <row r="358" spans="1:6" x14ac:dyDescent="0.2">
      <c r="B358" s="101" t="s">
        <v>353</v>
      </c>
      <c r="C358" s="30" t="s">
        <v>216</v>
      </c>
      <c r="D358" s="101">
        <v>35</v>
      </c>
      <c r="E358" s="183"/>
      <c r="F358" s="99">
        <f>2.8-0.035-0.505-0.81-0.505-0.2-0.29-0.04</f>
        <v>0.4149999999999997</v>
      </c>
    </row>
    <row r="359" spans="1:6" x14ac:dyDescent="0.2">
      <c r="B359" s="101" t="s">
        <v>353</v>
      </c>
      <c r="C359" s="30" t="s">
        <v>216</v>
      </c>
      <c r="D359" s="101">
        <v>40</v>
      </c>
      <c r="E359" s="25"/>
      <c r="F359" s="99">
        <f>0.47-0.115-0.085-0.04</f>
        <v>0.22999999999999995</v>
      </c>
    </row>
    <row r="360" spans="1:6" x14ac:dyDescent="0.2">
      <c r="B360" s="101" t="s">
        <v>353</v>
      </c>
      <c r="C360" s="30" t="s">
        <v>216</v>
      </c>
      <c r="D360" s="101">
        <v>42</v>
      </c>
      <c r="E360" s="25"/>
      <c r="F360" s="99">
        <f>3.1-0.085</f>
        <v>3.0150000000000001</v>
      </c>
    </row>
    <row r="361" spans="1:6" x14ac:dyDescent="0.2">
      <c r="B361" s="101" t="s">
        <v>353</v>
      </c>
      <c r="C361" s="30" t="s">
        <v>216</v>
      </c>
      <c r="D361" s="101">
        <v>45</v>
      </c>
      <c r="E361" s="25"/>
      <c r="F361" s="99">
        <v>0.09</v>
      </c>
    </row>
    <row r="362" spans="1:6" x14ac:dyDescent="0.2">
      <c r="B362" s="101" t="s">
        <v>353</v>
      </c>
      <c r="C362" s="30" t="s">
        <v>216</v>
      </c>
      <c r="D362" s="101">
        <v>45</v>
      </c>
      <c r="E362" s="25"/>
      <c r="F362" s="99">
        <v>0.42</v>
      </c>
    </row>
    <row r="363" spans="1:6" x14ac:dyDescent="0.2">
      <c r="B363" s="101" t="s">
        <v>353</v>
      </c>
      <c r="C363" s="30" t="s">
        <v>216</v>
      </c>
      <c r="D363" s="101">
        <v>52</v>
      </c>
      <c r="E363" s="25"/>
      <c r="F363" s="99">
        <v>2.87</v>
      </c>
    </row>
    <row r="364" spans="1:6" x14ac:dyDescent="0.2">
      <c r="B364" s="101" t="s">
        <v>353</v>
      </c>
      <c r="C364" s="30" t="s">
        <v>216</v>
      </c>
      <c r="D364" s="101">
        <v>80</v>
      </c>
      <c r="E364" s="25"/>
      <c r="F364" s="99">
        <v>1.45</v>
      </c>
    </row>
    <row r="365" spans="1:6" x14ac:dyDescent="0.2">
      <c r="B365" s="101" t="s">
        <v>353</v>
      </c>
      <c r="C365" s="30" t="s">
        <v>216</v>
      </c>
      <c r="D365" s="101">
        <v>80</v>
      </c>
      <c r="E365" s="25"/>
      <c r="F365" s="99">
        <v>4.12</v>
      </c>
    </row>
    <row r="366" spans="1:6" x14ac:dyDescent="0.2">
      <c r="B366" s="101" t="s">
        <v>353</v>
      </c>
      <c r="C366" s="30" t="s">
        <v>216</v>
      </c>
      <c r="D366" s="101">
        <v>100</v>
      </c>
      <c r="E366" s="183"/>
      <c r="F366" s="99">
        <f>10.26-1.22-0.73</f>
        <v>8.3099999999999987</v>
      </c>
    </row>
    <row r="367" spans="1:6" x14ac:dyDescent="0.2">
      <c r="B367" s="101" t="s">
        <v>353</v>
      </c>
      <c r="C367" s="30" t="s">
        <v>216</v>
      </c>
      <c r="D367" s="101">
        <v>100</v>
      </c>
      <c r="E367" s="25"/>
      <c r="F367" s="99">
        <v>4.2</v>
      </c>
    </row>
    <row r="368" spans="1:6" x14ac:dyDescent="0.2">
      <c r="B368" s="30" t="s">
        <v>353</v>
      </c>
      <c r="C368" s="30" t="s">
        <v>337</v>
      </c>
      <c r="D368" s="30">
        <v>80</v>
      </c>
      <c r="E368" s="101"/>
      <c r="F368" s="99">
        <v>0.13800000000000001</v>
      </c>
    </row>
    <row r="369" spans="2:6" ht="12.95" customHeight="1" x14ac:dyDescent="0.2">
      <c r="B369" s="101" t="s">
        <v>353</v>
      </c>
      <c r="C369" s="30" t="s">
        <v>1599</v>
      </c>
      <c r="D369" s="101">
        <v>100</v>
      </c>
      <c r="E369" s="25"/>
      <c r="F369" s="99">
        <f>0.92-0.12</f>
        <v>0.8</v>
      </c>
    </row>
    <row r="370" spans="2:6" x14ac:dyDescent="0.2">
      <c r="B370" s="101" t="s">
        <v>353</v>
      </c>
      <c r="C370" s="30" t="s">
        <v>1553</v>
      </c>
      <c r="D370" s="101">
        <v>36</v>
      </c>
      <c r="E370" s="183"/>
      <c r="F370" s="99">
        <v>1.28</v>
      </c>
    </row>
    <row r="371" spans="2:6" x14ac:dyDescent="0.2">
      <c r="B371" s="36" t="s">
        <v>353</v>
      </c>
      <c r="C371" s="94" t="s">
        <v>838</v>
      </c>
      <c r="D371" s="62">
        <v>170</v>
      </c>
      <c r="E371" s="70">
        <v>6.2</v>
      </c>
      <c r="F371" s="70">
        <v>1.0900000000000001</v>
      </c>
    </row>
    <row r="372" spans="2:6" x14ac:dyDescent="0.2">
      <c r="B372" s="101" t="s">
        <v>353</v>
      </c>
      <c r="C372" s="30" t="s">
        <v>1576</v>
      </c>
      <c r="D372" s="101">
        <v>70</v>
      </c>
      <c r="E372" s="25"/>
      <c r="F372" s="99">
        <v>0.56000000000000005</v>
      </c>
    </row>
    <row r="373" spans="2:6" x14ac:dyDescent="0.2">
      <c r="B373" s="4" t="s">
        <v>353</v>
      </c>
      <c r="C373" s="174" t="s">
        <v>215</v>
      </c>
      <c r="D373" s="64" t="s">
        <v>658</v>
      </c>
      <c r="E373" s="4" t="s">
        <v>46</v>
      </c>
      <c r="F373" s="40">
        <v>3.2679999999999998</v>
      </c>
    </row>
    <row r="374" spans="2:6" x14ac:dyDescent="0.2">
      <c r="B374" s="4" t="s">
        <v>353</v>
      </c>
      <c r="C374" s="174" t="s">
        <v>215</v>
      </c>
      <c r="D374" s="37" t="s">
        <v>661</v>
      </c>
      <c r="E374" s="4" t="s">
        <v>46</v>
      </c>
      <c r="F374" s="40">
        <v>2.1669999999999998</v>
      </c>
    </row>
    <row r="375" spans="2:6" x14ac:dyDescent="0.2">
      <c r="B375" s="4" t="s">
        <v>353</v>
      </c>
      <c r="C375" s="174" t="s">
        <v>215</v>
      </c>
      <c r="D375" s="64" t="s">
        <v>673</v>
      </c>
      <c r="E375" s="4" t="s">
        <v>46</v>
      </c>
      <c r="F375" s="40">
        <v>4.29</v>
      </c>
    </row>
    <row r="376" spans="2:6" x14ac:dyDescent="0.2">
      <c r="B376" s="4" t="s">
        <v>353</v>
      </c>
      <c r="C376" s="174" t="s">
        <v>215</v>
      </c>
      <c r="D376" s="64" t="s">
        <v>675</v>
      </c>
      <c r="E376" s="4" t="s">
        <v>46</v>
      </c>
      <c r="F376" s="40">
        <v>4.58</v>
      </c>
    </row>
    <row r="377" spans="2:6" x14ac:dyDescent="0.2">
      <c r="B377" s="4" t="s">
        <v>353</v>
      </c>
      <c r="C377" s="174" t="s">
        <v>215</v>
      </c>
      <c r="D377" s="64" t="s">
        <v>676</v>
      </c>
      <c r="E377" s="4" t="s">
        <v>28</v>
      </c>
      <c r="F377" s="40">
        <v>11.26</v>
      </c>
    </row>
    <row r="378" spans="2:6" x14ac:dyDescent="0.2">
      <c r="B378" s="4" t="s">
        <v>353</v>
      </c>
      <c r="C378" s="174" t="s">
        <v>215</v>
      </c>
      <c r="D378" s="63" t="s">
        <v>679</v>
      </c>
      <c r="E378" s="4" t="s">
        <v>46</v>
      </c>
      <c r="F378" s="40">
        <v>7.4870000000000001</v>
      </c>
    </row>
    <row r="379" spans="2:6" x14ac:dyDescent="0.2">
      <c r="B379" s="4" t="s">
        <v>353</v>
      </c>
      <c r="C379" s="174" t="s">
        <v>215</v>
      </c>
      <c r="D379" s="64" t="s">
        <v>681</v>
      </c>
      <c r="E379" s="4" t="s">
        <v>46</v>
      </c>
      <c r="F379" s="40">
        <v>8.1449999999999996</v>
      </c>
    </row>
    <row r="380" spans="2:6" x14ac:dyDescent="0.2">
      <c r="B380" s="4" t="s">
        <v>353</v>
      </c>
      <c r="C380" s="174" t="s">
        <v>215</v>
      </c>
      <c r="D380" s="64" t="s">
        <v>682</v>
      </c>
      <c r="E380" s="4" t="s">
        <v>46</v>
      </c>
      <c r="F380" s="40">
        <v>7.1879999999999997</v>
      </c>
    </row>
    <row r="381" spans="2:6" x14ac:dyDescent="0.2">
      <c r="B381" s="4" t="s">
        <v>353</v>
      </c>
      <c r="C381" s="174" t="s">
        <v>215</v>
      </c>
      <c r="D381" s="64" t="s">
        <v>652</v>
      </c>
      <c r="E381" s="4" t="s">
        <v>46</v>
      </c>
      <c r="F381" s="40">
        <v>4.9749999999999996</v>
      </c>
    </row>
    <row r="382" spans="2:6" x14ac:dyDescent="0.2">
      <c r="B382" s="4" t="s">
        <v>353</v>
      </c>
      <c r="C382" s="174" t="s">
        <v>215</v>
      </c>
      <c r="D382" s="64" t="s">
        <v>651</v>
      </c>
      <c r="E382" s="4" t="s">
        <v>46</v>
      </c>
      <c r="F382" s="40">
        <v>6.2619999999999996</v>
      </c>
    </row>
    <row r="383" spans="2:6" x14ac:dyDescent="0.2">
      <c r="B383" s="4" t="s">
        <v>353</v>
      </c>
      <c r="C383" s="174" t="s">
        <v>215</v>
      </c>
      <c r="D383" s="64" t="s">
        <v>648</v>
      </c>
      <c r="E383" s="4" t="s">
        <v>46</v>
      </c>
      <c r="F383" s="41"/>
    </row>
    <row r="384" spans="2:6" x14ac:dyDescent="0.2">
      <c r="B384" s="36" t="s">
        <v>353</v>
      </c>
      <c r="C384" s="94" t="s">
        <v>792</v>
      </c>
      <c r="D384" s="62" t="s">
        <v>839</v>
      </c>
      <c r="E384" s="70">
        <v>2.7</v>
      </c>
      <c r="F384" s="70">
        <v>0.23</v>
      </c>
    </row>
    <row r="385" spans="2:6" x14ac:dyDescent="0.2">
      <c r="B385" s="36" t="s">
        <v>353</v>
      </c>
      <c r="C385" s="94" t="s">
        <v>792</v>
      </c>
      <c r="D385" s="62">
        <v>130</v>
      </c>
      <c r="E385" s="70" t="s">
        <v>840</v>
      </c>
      <c r="F385" s="70">
        <v>0.92</v>
      </c>
    </row>
    <row r="386" spans="2:6" x14ac:dyDescent="0.2">
      <c r="B386" s="101" t="s">
        <v>353</v>
      </c>
      <c r="C386" s="30" t="s">
        <v>792</v>
      </c>
      <c r="D386" s="101">
        <v>17</v>
      </c>
      <c r="E386" s="101"/>
      <c r="F386" s="99">
        <v>0.09</v>
      </c>
    </row>
    <row r="387" spans="2:6" x14ac:dyDescent="0.2">
      <c r="B387" s="101" t="s">
        <v>353</v>
      </c>
      <c r="C387" s="30" t="s">
        <v>792</v>
      </c>
      <c r="D387" s="101">
        <v>25</v>
      </c>
      <c r="E387" s="101"/>
      <c r="F387" s="99">
        <v>3.5000000000000003E-2</v>
      </c>
    </row>
    <row r="388" spans="2:6" x14ac:dyDescent="0.2">
      <c r="B388" s="101" t="s">
        <v>353</v>
      </c>
      <c r="C388" s="30" t="s">
        <v>792</v>
      </c>
      <c r="D388" s="101">
        <v>28</v>
      </c>
      <c r="E388" s="101"/>
      <c r="F388" s="99">
        <f>0.38-0.05-0.045-0.01-0.19</f>
        <v>8.500000000000002E-2</v>
      </c>
    </row>
    <row r="389" spans="2:6" x14ac:dyDescent="0.2">
      <c r="B389" s="4" t="s">
        <v>353</v>
      </c>
      <c r="C389" s="174" t="s">
        <v>683</v>
      </c>
      <c r="D389" s="37" t="s">
        <v>649</v>
      </c>
      <c r="E389" s="4" t="s">
        <v>28</v>
      </c>
      <c r="F389" s="39">
        <v>4.18</v>
      </c>
    </row>
    <row r="390" spans="2:6" x14ac:dyDescent="0.2">
      <c r="B390" s="4" t="s">
        <v>353</v>
      </c>
      <c r="C390" s="174" t="s">
        <v>737</v>
      </c>
      <c r="D390" s="64" t="s">
        <v>658</v>
      </c>
      <c r="E390" s="4">
        <v>4.57</v>
      </c>
      <c r="F390" s="41">
        <v>0.1</v>
      </c>
    </row>
    <row r="391" spans="2:6" x14ac:dyDescent="0.2">
      <c r="B391" s="101" t="s">
        <v>353</v>
      </c>
      <c r="C391" s="30" t="s">
        <v>1569</v>
      </c>
      <c r="D391" s="101">
        <v>60</v>
      </c>
      <c r="E391" s="25"/>
      <c r="F391" s="99">
        <f>2.32+0.91+1.61</f>
        <v>4.84</v>
      </c>
    </row>
    <row r="392" spans="2:6" x14ac:dyDescent="0.2">
      <c r="B392" s="78" t="s">
        <v>353</v>
      </c>
      <c r="C392" s="174" t="s">
        <v>312</v>
      </c>
      <c r="D392" s="37" t="s">
        <v>664</v>
      </c>
      <c r="E392" s="77" t="s">
        <v>818</v>
      </c>
      <c r="F392" s="39">
        <v>8.5000000000000006E-2</v>
      </c>
    </row>
    <row r="393" spans="2:6" x14ac:dyDescent="0.2">
      <c r="B393" s="36" t="s">
        <v>353</v>
      </c>
      <c r="C393" s="176" t="s">
        <v>738</v>
      </c>
      <c r="D393" s="36">
        <v>100</v>
      </c>
      <c r="E393" s="44">
        <v>3.2</v>
      </c>
      <c r="F393" s="46">
        <v>1.17</v>
      </c>
    </row>
    <row r="394" spans="2:6" x14ac:dyDescent="0.2">
      <c r="B394" s="101" t="s">
        <v>353</v>
      </c>
      <c r="C394" s="30" t="s">
        <v>1531</v>
      </c>
      <c r="D394" s="101">
        <v>12</v>
      </c>
      <c r="E394" s="25"/>
      <c r="F394" s="99">
        <f>1.65-0.005</f>
        <v>1.645</v>
      </c>
    </row>
    <row r="395" spans="2:6" x14ac:dyDescent="0.2">
      <c r="B395" s="4" t="s">
        <v>353</v>
      </c>
      <c r="C395" s="176" t="s">
        <v>315</v>
      </c>
      <c r="D395" s="36">
        <v>90</v>
      </c>
      <c r="E395" s="44">
        <v>5</v>
      </c>
      <c r="F395" s="45">
        <v>12.57</v>
      </c>
    </row>
    <row r="396" spans="2:6" x14ac:dyDescent="0.2">
      <c r="B396" s="101" t="s">
        <v>353</v>
      </c>
      <c r="C396" s="30" t="s">
        <v>315</v>
      </c>
      <c r="D396" s="101">
        <v>210</v>
      </c>
      <c r="E396" s="25"/>
      <c r="F396" s="99">
        <v>0.49</v>
      </c>
    </row>
    <row r="397" spans="2:6" x14ac:dyDescent="0.2">
      <c r="B397" s="101" t="s">
        <v>353</v>
      </c>
      <c r="C397" s="30" t="s">
        <v>315</v>
      </c>
      <c r="D397" s="101">
        <v>230</v>
      </c>
      <c r="E397" s="25"/>
      <c r="F397" s="99">
        <f>0.33+0.64+0.985-0.25</f>
        <v>1.7050000000000001</v>
      </c>
    </row>
    <row r="398" spans="2:6" x14ac:dyDescent="0.2">
      <c r="B398" s="101" t="s">
        <v>353</v>
      </c>
      <c r="C398" s="30" t="s">
        <v>315</v>
      </c>
      <c r="D398" s="101">
        <v>250</v>
      </c>
      <c r="E398" s="183"/>
      <c r="F398" s="99">
        <v>3.69</v>
      </c>
    </row>
    <row r="399" spans="2:6" x14ac:dyDescent="0.2">
      <c r="B399" s="101" t="s">
        <v>353</v>
      </c>
      <c r="C399" s="30" t="s">
        <v>315</v>
      </c>
      <c r="D399" s="101">
        <v>250</v>
      </c>
      <c r="E399" s="183"/>
      <c r="F399" s="99">
        <f>1.855+1.845</f>
        <v>3.7</v>
      </c>
    </row>
    <row r="400" spans="2:6" x14ac:dyDescent="0.2">
      <c r="B400" s="101" t="s">
        <v>353</v>
      </c>
      <c r="C400" s="30" t="s">
        <v>1680</v>
      </c>
      <c r="D400" s="101" t="s">
        <v>2468</v>
      </c>
      <c r="E400" s="25"/>
      <c r="F400" s="99">
        <v>1.05</v>
      </c>
    </row>
    <row r="401" spans="2:6" x14ac:dyDescent="0.2">
      <c r="B401" s="101" t="s">
        <v>353</v>
      </c>
      <c r="C401" s="30" t="s">
        <v>1680</v>
      </c>
      <c r="D401" s="101" t="s">
        <v>1681</v>
      </c>
      <c r="E401" s="183"/>
      <c r="F401" s="99"/>
    </row>
    <row r="402" spans="2:6" x14ac:dyDescent="0.2">
      <c r="B402" s="101" t="s">
        <v>353</v>
      </c>
      <c r="C402" s="30" t="s">
        <v>1735</v>
      </c>
      <c r="D402" s="101" t="s">
        <v>2488</v>
      </c>
      <c r="E402" s="183"/>
      <c r="F402" s="99">
        <v>0.35</v>
      </c>
    </row>
    <row r="403" spans="2:6" x14ac:dyDescent="0.2">
      <c r="B403" s="78" t="s">
        <v>353</v>
      </c>
      <c r="C403" s="174" t="s">
        <v>713</v>
      </c>
      <c r="D403" s="2">
        <v>56</v>
      </c>
      <c r="E403" s="77" t="s">
        <v>761</v>
      </c>
      <c r="F403" s="39">
        <v>0.38</v>
      </c>
    </row>
    <row r="404" spans="2:6" x14ac:dyDescent="0.2">
      <c r="B404" s="78" t="s">
        <v>353</v>
      </c>
      <c r="C404" s="174" t="s">
        <v>713</v>
      </c>
      <c r="D404" s="2">
        <v>60</v>
      </c>
      <c r="E404" s="77" t="s">
        <v>762</v>
      </c>
      <c r="F404" s="39">
        <v>0.22</v>
      </c>
    </row>
    <row r="405" spans="2:6" x14ac:dyDescent="0.2">
      <c r="B405" s="78" t="s">
        <v>353</v>
      </c>
      <c r="C405" s="174" t="s">
        <v>713</v>
      </c>
      <c r="D405" s="2">
        <v>850</v>
      </c>
      <c r="E405" s="77">
        <v>0.25</v>
      </c>
      <c r="F405" s="39">
        <v>1.1499999999999999</v>
      </c>
    </row>
    <row r="406" spans="2:6" x14ac:dyDescent="0.2">
      <c r="B406" s="78" t="s">
        <v>353</v>
      </c>
      <c r="C406" s="174" t="s">
        <v>763</v>
      </c>
      <c r="D406" s="2" t="s">
        <v>372</v>
      </c>
      <c r="E406" s="77">
        <v>1.4</v>
      </c>
      <c r="F406" s="39">
        <v>0.59</v>
      </c>
    </row>
    <row r="407" spans="2:6" x14ac:dyDescent="0.2">
      <c r="B407" s="36" t="s">
        <v>353</v>
      </c>
      <c r="C407" s="176" t="s">
        <v>739</v>
      </c>
      <c r="D407" s="36" t="s">
        <v>360</v>
      </c>
      <c r="E407" s="44">
        <v>1.87</v>
      </c>
      <c r="F407" s="46">
        <v>0.8</v>
      </c>
    </row>
    <row r="408" spans="2:6" x14ac:dyDescent="0.2">
      <c r="B408" s="101" t="s">
        <v>353</v>
      </c>
      <c r="C408" s="30" t="s">
        <v>739</v>
      </c>
      <c r="D408" s="101">
        <v>70</v>
      </c>
      <c r="E408" s="25"/>
      <c r="F408" s="99">
        <v>0.13</v>
      </c>
    </row>
    <row r="409" spans="2:6" x14ac:dyDescent="0.2">
      <c r="B409" s="101" t="s">
        <v>353</v>
      </c>
      <c r="C409" s="30" t="s">
        <v>1598</v>
      </c>
      <c r="D409" s="101">
        <v>100</v>
      </c>
      <c r="E409" s="25"/>
      <c r="F409" s="99">
        <v>0.72</v>
      </c>
    </row>
    <row r="410" spans="2:6" x14ac:dyDescent="0.2">
      <c r="B410" s="4" t="s">
        <v>353</v>
      </c>
      <c r="C410" s="176" t="s">
        <v>760</v>
      </c>
      <c r="D410" s="36">
        <v>105</v>
      </c>
      <c r="E410" s="44">
        <v>3.55</v>
      </c>
      <c r="F410" s="45">
        <v>0.3</v>
      </c>
    </row>
    <row r="411" spans="2:6" x14ac:dyDescent="0.2">
      <c r="B411" s="101" t="s">
        <v>353</v>
      </c>
      <c r="C411" s="30" t="s">
        <v>2611</v>
      </c>
      <c r="D411" s="101">
        <v>60</v>
      </c>
      <c r="E411" s="25"/>
      <c r="F411" s="99">
        <v>1.7</v>
      </c>
    </row>
    <row r="412" spans="2:6" x14ac:dyDescent="0.2">
      <c r="B412" s="101" t="s">
        <v>353</v>
      </c>
      <c r="C412" s="30" t="s">
        <v>221</v>
      </c>
      <c r="D412" s="101">
        <v>330</v>
      </c>
      <c r="E412" s="183"/>
      <c r="F412" s="99">
        <f>4.13+4.93</f>
        <v>9.0599999999999987</v>
      </c>
    </row>
    <row r="413" spans="2:6" x14ac:dyDescent="0.2">
      <c r="B413" s="36" t="s">
        <v>353</v>
      </c>
      <c r="C413" s="94" t="s">
        <v>841</v>
      </c>
      <c r="D413" s="62">
        <v>50</v>
      </c>
      <c r="E413" s="70" t="s">
        <v>786</v>
      </c>
      <c r="F413" s="70">
        <v>2.12</v>
      </c>
    </row>
    <row r="414" spans="2:6" x14ac:dyDescent="0.2">
      <c r="B414" s="36" t="s">
        <v>353</v>
      </c>
      <c r="C414" s="94" t="s">
        <v>764</v>
      </c>
      <c r="D414" s="62">
        <v>120</v>
      </c>
      <c r="E414" s="70">
        <v>1.96</v>
      </c>
      <c r="F414" s="70">
        <v>0.18</v>
      </c>
    </row>
    <row r="415" spans="2:6" x14ac:dyDescent="0.2">
      <c r="B415" s="101" t="s">
        <v>353</v>
      </c>
      <c r="C415" s="30" t="s">
        <v>1626</v>
      </c>
      <c r="D415" s="101">
        <v>180</v>
      </c>
      <c r="E415" s="25"/>
      <c r="F415" s="99">
        <v>1.08</v>
      </c>
    </row>
    <row r="416" spans="2:6" x14ac:dyDescent="0.2">
      <c r="B416" s="30" t="s">
        <v>353</v>
      </c>
      <c r="C416" s="30" t="s">
        <v>400</v>
      </c>
      <c r="D416" s="30">
        <v>200</v>
      </c>
      <c r="E416" s="101"/>
      <c r="F416" s="99">
        <v>0.33600000000000002</v>
      </c>
    </row>
    <row r="417" spans="2:6" x14ac:dyDescent="0.2">
      <c r="B417" s="30" t="s">
        <v>353</v>
      </c>
      <c r="C417" s="30" t="s">
        <v>400</v>
      </c>
      <c r="D417" s="30">
        <v>240</v>
      </c>
      <c r="E417" s="101"/>
      <c r="F417" s="99">
        <v>0.53400000000000003</v>
      </c>
    </row>
    <row r="418" spans="2:6" x14ac:dyDescent="0.2">
      <c r="B418" s="101" t="s">
        <v>353</v>
      </c>
      <c r="C418" s="30" t="s">
        <v>400</v>
      </c>
      <c r="D418" s="101">
        <v>52</v>
      </c>
      <c r="E418" s="25"/>
      <c r="F418" s="99">
        <v>2.58</v>
      </c>
    </row>
    <row r="419" spans="2:6" x14ac:dyDescent="0.2">
      <c r="B419" s="101" t="s">
        <v>353</v>
      </c>
      <c r="C419" s="30" t="s">
        <v>400</v>
      </c>
      <c r="D419" s="101">
        <v>55</v>
      </c>
      <c r="E419" s="25"/>
      <c r="F419" s="99">
        <v>3.36</v>
      </c>
    </row>
    <row r="420" spans="2:6" x14ac:dyDescent="0.2">
      <c r="B420" s="101" t="s">
        <v>353</v>
      </c>
      <c r="C420" s="30" t="s">
        <v>400</v>
      </c>
      <c r="D420" s="101">
        <v>63</v>
      </c>
      <c r="E420" s="25"/>
      <c r="F420" s="99"/>
    </row>
    <row r="421" spans="2:6" x14ac:dyDescent="0.2">
      <c r="B421" s="101" t="s">
        <v>353</v>
      </c>
      <c r="C421" s="30" t="s">
        <v>400</v>
      </c>
      <c r="D421" s="101">
        <v>63</v>
      </c>
      <c r="E421" s="25"/>
      <c r="F421" s="99">
        <f>2.95+2.73</f>
        <v>5.68</v>
      </c>
    </row>
    <row r="422" spans="2:6" x14ac:dyDescent="0.2">
      <c r="B422" s="101" t="s">
        <v>353</v>
      </c>
      <c r="C422" s="30" t="s">
        <v>400</v>
      </c>
      <c r="D422" s="101">
        <v>64</v>
      </c>
      <c r="E422" s="25"/>
      <c r="F422" s="99">
        <v>3.01</v>
      </c>
    </row>
    <row r="423" spans="2:6" x14ac:dyDescent="0.2">
      <c r="B423" s="101" t="s">
        <v>353</v>
      </c>
      <c r="C423" s="30" t="s">
        <v>400</v>
      </c>
      <c r="D423" s="101">
        <v>64</v>
      </c>
      <c r="E423" s="25"/>
      <c r="F423" s="99">
        <v>1.3</v>
      </c>
    </row>
    <row r="424" spans="2:6" x14ac:dyDescent="0.2">
      <c r="B424" s="101" t="s">
        <v>353</v>
      </c>
      <c r="C424" s="30" t="s">
        <v>400</v>
      </c>
      <c r="D424" s="101">
        <v>64</v>
      </c>
      <c r="E424" s="25"/>
      <c r="F424" s="99">
        <v>1.79</v>
      </c>
    </row>
    <row r="425" spans="2:6" x14ac:dyDescent="0.2">
      <c r="B425" s="101" t="s">
        <v>353</v>
      </c>
      <c r="C425" s="30" t="s">
        <v>400</v>
      </c>
      <c r="D425" s="101">
        <v>64</v>
      </c>
      <c r="E425" s="25"/>
      <c r="F425" s="99">
        <v>0.95</v>
      </c>
    </row>
    <row r="426" spans="2:6" x14ac:dyDescent="0.2">
      <c r="B426" s="101" t="s">
        <v>353</v>
      </c>
      <c r="C426" s="30" t="s">
        <v>1575</v>
      </c>
      <c r="D426" s="101">
        <v>70</v>
      </c>
      <c r="E426" s="25"/>
      <c r="F426" s="99">
        <v>0.19</v>
      </c>
    </row>
    <row r="427" spans="2:6" x14ac:dyDescent="0.2">
      <c r="B427" s="101" t="s">
        <v>353</v>
      </c>
      <c r="C427" s="30" t="s">
        <v>1550</v>
      </c>
      <c r="D427" s="101">
        <v>34</v>
      </c>
      <c r="E427" s="183"/>
      <c r="F427" s="99">
        <v>0.02</v>
      </c>
    </row>
    <row r="428" spans="2:6" x14ac:dyDescent="0.2">
      <c r="B428" s="4" t="s">
        <v>353</v>
      </c>
      <c r="C428" s="176" t="s">
        <v>741</v>
      </c>
      <c r="D428" s="36">
        <v>38</v>
      </c>
      <c r="E428" s="44">
        <v>5</v>
      </c>
      <c r="F428" s="45">
        <v>3.14</v>
      </c>
    </row>
    <row r="429" spans="2:6" x14ac:dyDescent="0.2">
      <c r="B429" s="30" t="s">
        <v>353</v>
      </c>
      <c r="C429" s="30" t="s">
        <v>1159</v>
      </c>
      <c r="D429" s="30">
        <v>180</v>
      </c>
      <c r="E429" s="101" t="s">
        <v>2418</v>
      </c>
      <c r="F429" s="99">
        <f>0.456+0.474+0.466+2.35</f>
        <v>3.746</v>
      </c>
    </row>
    <row r="430" spans="2:6" x14ac:dyDescent="0.2">
      <c r="B430" s="4" t="s">
        <v>353</v>
      </c>
      <c r="C430" s="174" t="s">
        <v>307</v>
      </c>
      <c r="D430" s="64" t="s">
        <v>655</v>
      </c>
      <c r="E430" s="4" t="s">
        <v>166</v>
      </c>
      <c r="F430" s="38">
        <v>0.27</v>
      </c>
    </row>
    <row r="431" spans="2:6" x14ac:dyDescent="0.2">
      <c r="B431" s="30" t="s">
        <v>353</v>
      </c>
      <c r="C431" s="30" t="s">
        <v>307</v>
      </c>
      <c r="D431" s="30">
        <v>30</v>
      </c>
      <c r="E431" s="101"/>
      <c r="F431" s="99">
        <f>1-0.06-0.045-0.096-0.064-0.02</f>
        <v>0.71499999999999986</v>
      </c>
    </row>
    <row r="432" spans="2:6" x14ac:dyDescent="0.2">
      <c r="B432" s="30" t="s">
        <v>353</v>
      </c>
      <c r="C432" s="30" t="s">
        <v>307</v>
      </c>
      <c r="D432" s="30">
        <v>140</v>
      </c>
      <c r="E432" s="101"/>
      <c r="F432" s="99">
        <v>0.33800000000000002</v>
      </c>
    </row>
    <row r="433" spans="2:6" x14ac:dyDescent="0.2">
      <c r="B433" s="30" t="s">
        <v>353</v>
      </c>
      <c r="C433" s="30" t="s">
        <v>307</v>
      </c>
      <c r="D433" s="30">
        <v>200</v>
      </c>
      <c r="E433" s="101"/>
      <c r="F433" s="99">
        <v>0.28000000000000003</v>
      </c>
    </row>
    <row r="434" spans="2:6" x14ac:dyDescent="0.2">
      <c r="B434" s="30" t="s">
        <v>353</v>
      </c>
      <c r="C434" s="30" t="s">
        <v>307</v>
      </c>
      <c r="D434" s="30">
        <v>220</v>
      </c>
      <c r="E434" s="101"/>
      <c r="F434" s="99">
        <f>0.564-0.188</f>
        <v>0.37599999999999995</v>
      </c>
    </row>
    <row r="435" spans="2:6" x14ac:dyDescent="0.2">
      <c r="B435" s="30" t="s">
        <v>353</v>
      </c>
      <c r="C435" s="30" t="s">
        <v>307</v>
      </c>
      <c r="D435" s="30" t="s">
        <v>417</v>
      </c>
      <c r="E435" s="101"/>
      <c r="F435" s="34">
        <v>0.42</v>
      </c>
    </row>
    <row r="436" spans="2:6" x14ac:dyDescent="0.2">
      <c r="B436" s="101" t="s">
        <v>353</v>
      </c>
      <c r="C436" s="30" t="s">
        <v>307</v>
      </c>
      <c r="D436" s="101">
        <v>38</v>
      </c>
      <c r="E436" s="25"/>
      <c r="F436" s="99">
        <f>0.75-0.09-0.1-0.04</f>
        <v>0.52</v>
      </c>
    </row>
    <row r="437" spans="2:6" x14ac:dyDescent="0.2">
      <c r="B437" s="101" t="s">
        <v>353</v>
      </c>
      <c r="C437" s="30" t="s">
        <v>307</v>
      </c>
      <c r="D437" s="101">
        <v>40</v>
      </c>
      <c r="E437" s="25"/>
      <c r="F437" s="99">
        <f>2.72-0.07-0.11-0.07-0.1-0.23</f>
        <v>2.1400000000000006</v>
      </c>
    </row>
    <row r="438" spans="2:6" x14ac:dyDescent="0.2">
      <c r="B438" s="101" t="s">
        <v>353</v>
      </c>
      <c r="C438" s="30" t="s">
        <v>307</v>
      </c>
      <c r="D438" s="101">
        <v>54</v>
      </c>
      <c r="E438" s="25"/>
      <c r="F438" s="99">
        <f>0.59-0.08-0.08</f>
        <v>0.43</v>
      </c>
    </row>
    <row r="439" spans="2:6" x14ac:dyDescent="0.2">
      <c r="B439" s="101" t="s">
        <v>353</v>
      </c>
      <c r="C439" s="30" t="s">
        <v>307</v>
      </c>
      <c r="D439" s="101">
        <v>140</v>
      </c>
      <c r="E439" s="25"/>
      <c r="F439" s="99">
        <v>0.33</v>
      </c>
    </row>
    <row r="440" spans="2:6" x14ac:dyDescent="0.2">
      <c r="B440" s="4" t="s">
        <v>353</v>
      </c>
      <c r="C440" s="173" t="s">
        <v>825</v>
      </c>
      <c r="D440" s="37" t="s">
        <v>184</v>
      </c>
      <c r="E440" s="5">
        <v>3</v>
      </c>
      <c r="F440" s="39">
        <v>3.1</v>
      </c>
    </row>
    <row r="441" spans="2:6" x14ac:dyDescent="0.2">
      <c r="B441" s="4" t="s">
        <v>353</v>
      </c>
      <c r="C441" s="173" t="s">
        <v>697</v>
      </c>
      <c r="D441" s="37" t="s">
        <v>180</v>
      </c>
      <c r="E441" s="5" t="s">
        <v>842</v>
      </c>
      <c r="F441" s="39">
        <v>0.22</v>
      </c>
    </row>
    <row r="442" spans="2:6" x14ac:dyDescent="0.2">
      <c r="B442" s="4" t="s">
        <v>353</v>
      </c>
      <c r="C442" s="174" t="s">
        <v>697</v>
      </c>
      <c r="D442" s="37" t="s">
        <v>245</v>
      </c>
      <c r="E442" s="5" t="s">
        <v>843</v>
      </c>
      <c r="F442" s="39">
        <v>0.17</v>
      </c>
    </row>
    <row r="443" spans="2:6" x14ac:dyDescent="0.2">
      <c r="B443" s="4" t="s">
        <v>353</v>
      </c>
      <c r="C443" s="173" t="s">
        <v>697</v>
      </c>
      <c r="D443" s="63" t="s">
        <v>154</v>
      </c>
      <c r="E443" s="4" t="s">
        <v>28</v>
      </c>
      <c r="F443" s="38" t="s">
        <v>191</v>
      </c>
    </row>
    <row r="444" spans="2:6" x14ac:dyDescent="0.2">
      <c r="B444" s="4" t="s">
        <v>353</v>
      </c>
      <c r="C444" s="174" t="s">
        <v>697</v>
      </c>
      <c r="D444" s="63" t="s">
        <v>672</v>
      </c>
      <c r="E444" s="82">
        <v>2.41</v>
      </c>
      <c r="F444" s="40">
        <v>0.33500000000000002</v>
      </c>
    </row>
    <row r="445" spans="2:6" x14ac:dyDescent="0.2">
      <c r="B445" s="36" t="s">
        <v>353</v>
      </c>
      <c r="C445" s="174" t="s">
        <v>697</v>
      </c>
      <c r="D445" s="63" t="s">
        <v>673</v>
      </c>
      <c r="E445" s="4">
        <v>6</v>
      </c>
      <c r="F445" s="38">
        <v>1.64</v>
      </c>
    </row>
    <row r="446" spans="2:6" x14ac:dyDescent="0.2">
      <c r="B446" s="101" t="s">
        <v>353</v>
      </c>
      <c r="C446" s="30" t="s">
        <v>697</v>
      </c>
      <c r="D446" s="101">
        <v>10</v>
      </c>
      <c r="E446" s="183"/>
      <c r="F446" s="99">
        <v>0.4</v>
      </c>
    </row>
    <row r="447" spans="2:6" x14ac:dyDescent="0.2">
      <c r="B447" s="101" t="s">
        <v>353</v>
      </c>
      <c r="C447" s="30" t="s">
        <v>697</v>
      </c>
      <c r="D447" s="101">
        <v>14</v>
      </c>
      <c r="E447" s="183"/>
      <c r="F447" s="99">
        <v>3.75</v>
      </c>
    </row>
    <row r="448" spans="2:6" x14ac:dyDescent="0.2">
      <c r="B448" s="101" t="s">
        <v>353</v>
      </c>
      <c r="C448" s="30" t="s">
        <v>697</v>
      </c>
      <c r="D448" s="101">
        <v>20</v>
      </c>
      <c r="E448" s="101"/>
      <c r="F448" s="99">
        <v>3.92</v>
      </c>
    </row>
    <row r="449" spans="2:6" x14ac:dyDescent="0.2">
      <c r="B449" s="101" t="s">
        <v>353</v>
      </c>
      <c r="C449" s="30" t="s">
        <v>697</v>
      </c>
      <c r="D449" s="101">
        <v>25</v>
      </c>
      <c r="E449" s="183"/>
      <c r="F449" s="99">
        <v>0.27</v>
      </c>
    </row>
    <row r="450" spans="2:6" x14ac:dyDescent="0.2">
      <c r="B450" s="101" t="s">
        <v>353</v>
      </c>
      <c r="C450" s="30" t="s">
        <v>697</v>
      </c>
      <c r="D450" s="101">
        <v>28</v>
      </c>
      <c r="E450" s="183"/>
      <c r="F450" s="99">
        <f>0.9-0.26</f>
        <v>0.64</v>
      </c>
    </row>
    <row r="451" spans="2:6" x14ac:dyDescent="0.2">
      <c r="B451" s="101" t="s">
        <v>353</v>
      </c>
      <c r="C451" s="30" t="s">
        <v>697</v>
      </c>
      <c r="D451" s="101">
        <v>30</v>
      </c>
      <c r="E451" s="25"/>
      <c r="F451" s="99">
        <v>4.4999999999999998E-2</v>
      </c>
    </row>
    <row r="452" spans="2:6" x14ac:dyDescent="0.2">
      <c r="B452" s="101" t="s">
        <v>353</v>
      </c>
      <c r="C452" s="30" t="s">
        <v>697</v>
      </c>
      <c r="D452" s="101">
        <v>40</v>
      </c>
      <c r="E452" s="183"/>
      <c r="F452" s="99">
        <v>7.0000000000000007E-2</v>
      </c>
    </row>
    <row r="453" spans="2:6" x14ac:dyDescent="0.2">
      <c r="B453" s="101" t="s">
        <v>353</v>
      </c>
      <c r="C453" s="30" t="s">
        <v>697</v>
      </c>
      <c r="D453" s="101">
        <v>90</v>
      </c>
      <c r="E453" s="183"/>
      <c r="F453" s="99">
        <v>0.42</v>
      </c>
    </row>
    <row r="454" spans="2:6" x14ac:dyDescent="0.2">
      <c r="B454" s="101" t="s">
        <v>353</v>
      </c>
      <c r="C454" s="30" t="s">
        <v>697</v>
      </c>
      <c r="D454" s="101">
        <v>163</v>
      </c>
      <c r="E454" s="183"/>
      <c r="F454" s="99">
        <v>0.63</v>
      </c>
    </row>
    <row r="455" spans="2:6" x14ac:dyDescent="0.2">
      <c r="B455" s="4" t="s">
        <v>353</v>
      </c>
      <c r="C455" s="173" t="s">
        <v>827</v>
      </c>
      <c r="D455" s="37" t="s">
        <v>671</v>
      </c>
      <c r="E455" s="5" t="s">
        <v>771</v>
      </c>
      <c r="F455" s="39">
        <v>0.44</v>
      </c>
    </row>
    <row r="456" spans="2:6" x14ac:dyDescent="0.2">
      <c r="B456" s="4" t="s">
        <v>353</v>
      </c>
      <c r="C456" s="173" t="s">
        <v>827</v>
      </c>
      <c r="D456" s="37" t="s">
        <v>772</v>
      </c>
      <c r="E456" s="5">
        <v>2.08</v>
      </c>
      <c r="F456" s="39">
        <v>2.79</v>
      </c>
    </row>
    <row r="457" spans="2:6" x14ac:dyDescent="0.2">
      <c r="B457" s="4" t="s">
        <v>353</v>
      </c>
      <c r="C457" s="174" t="s">
        <v>710</v>
      </c>
      <c r="D457" s="63" t="s">
        <v>669</v>
      </c>
      <c r="E457" s="4">
        <v>2.95</v>
      </c>
      <c r="F457" s="40">
        <v>0.31</v>
      </c>
    </row>
    <row r="458" spans="2:6" x14ac:dyDescent="0.2">
      <c r="B458" s="4" t="s">
        <v>353</v>
      </c>
      <c r="C458" s="174" t="s">
        <v>637</v>
      </c>
      <c r="D458" s="37" t="s">
        <v>663</v>
      </c>
      <c r="E458" s="4" t="s">
        <v>28</v>
      </c>
      <c r="F458" s="39">
        <v>0.38</v>
      </c>
    </row>
    <row r="459" spans="2:6" x14ac:dyDescent="0.2">
      <c r="B459" s="4" t="s">
        <v>353</v>
      </c>
      <c r="C459" s="174" t="s">
        <v>637</v>
      </c>
      <c r="D459" s="37" t="s">
        <v>666</v>
      </c>
      <c r="E459" s="2" t="s">
        <v>174</v>
      </c>
      <c r="F459" s="39">
        <v>0.45</v>
      </c>
    </row>
    <row r="460" spans="2:6" x14ac:dyDescent="0.2">
      <c r="B460" s="4" t="s">
        <v>353</v>
      </c>
      <c r="C460" s="174" t="s">
        <v>637</v>
      </c>
      <c r="D460" s="64" t="s">
        <v>676</v>
      </c>
      <c r="E460" s="42">
        <v>1.06</v>
      </c>
      <c r="F460" s="43">
        <v>0.26500000000000001</v>
      </c>
    </row>
    <row r="461" spans="2:6" x14ac:dyDescent="0.2">
      <c r="B461" s="101" t="s">
        <v>353</v>
      </c>
      <c r="C461" s="30" t="s">
        <v>637</v>
      </c>
      <c r="D461" s="101">
        <v>26</v>
      </c>
      <c r="E461" s="101"/>
      <c r="F461" s="99">
        <f>2.92-0.035-0.035-0.02-0.1-0.1-0.16-0.15</f>
        <v>2.3199999999999994</v>
      </c>
    </row>
    <row r="462" spans="2:6" x14ac:dyDescent="0.2">
      <c r="B462" s="101" t="s">
        <v>353</v>
      </c>
      <c r="C462" s="30" t="s">
        <v>637</v>
      </c>
      <c r="D462" s="101">
        <v>26</v>
      </c>
      <c r="E462" s="101"/>
      <c r="F462" s="99">
        <v>4.3</v>
      </c>
    </row>
    <row r="463" spans="2:6" x14ac:dyDescent="0.2">
      <c r="B463" s="36" t="s">
        <v>353</v>
      </c>
      <c r="C463" s="176" t="s">
        <v>398</v>
      </c>
      <c r="D463" s="37" t="s">
        <v>674</v>
      </c>
      <c r="E463" s="5">
        <v>1.2</v>
      </c>
      <c r="F463" s="39">
        <v>0.22</v>
      </c>
    </row>
    <row r="464" spans="2:6" x14ac:dyDescent="0.2">
      <c r="B464" s="30" t="s">
        <v>353</v>
      </c>
      <c r="C464" s="30" t="s">
        <v>398</v>
      </c>
      <c r="D464" s="30">
        <v>21</v>
      </c>
      <c r="E464" s="101"/>
      <c r="F464" s="99">
        <f>1.508+1.834-0.002-0.1-0.012-0.116-0.204-0.012-0.058</f>
        <v>2.8380000000000001</v>
      </c>
    </row>
    <row r="465" spans="2:6" x14ac:dyDescent="0.2">
      <c r="B465" s="101" t="s">
        <v>353</v>
      </c>
      <c r="C465" s="30" t="s">
        <v>1582</v>
      </c>
      <c r="D465" s="101">
        <v>80</v>
      </c>
      <c r="E465" s="25"/>
      <c r="F465" s="99">
        <f>2.55-0.14-0.13</f>
        <v>2.2799999999999998</v>
      </c>
    </row>
    <row r="466" spans="2:6" x14ac:dyDescent="0.2">
      <c r="B466" s="101" t="s">
        <v>353</v>
      </c>
      <c r="C466" s="30" t="s">
        <v>1600</v>
      </c>
      <c r="D466" s="101">
        <v>100</v>
      </c>
      <c r="E466" s="25"/>
      <c r="F466" s="99">
        <v>0.25</v>
      </c>
    </row>
    <row r="467" spans="2:6" x14ac:dyDescent="0.2">
      <c r="B467" s="4" t="s">
        <v>353</v>
      </c>
      <c r="C467" s="173" t="s">
        <v>787</v>
      </c>
      <c r="D467" s="37" t="s">
        <v>665</v>
      </c>
      <c r="E467" s="5">
        <v>4.1500000000000004</v>
      </c>
      <c r="F467" s="39">
        <v>0.28999999999999998</v>
      </c>
    </row>
    <row r="468" spans="2:6" x14ac:dyDescent="0.2">
      <c r="B468" s="4" t="s">
        <v>353</v>
      </c>
      <c r="C468" s="176" t="s">
        <v>742</v>
      </c>
      <c r="D468" s="36">
        <v>40</v>
      </c>
      <c r="E468" s="44" t="s">
        <v>743</v>
      </c>
      <c r="F468" s="45">
        <v>1.45</v>
      </c>
    </row>
    <row r="469" spans="2:6" x14ac:dyDescent="0.2">
      <c r="B469" s="101" t="s">
        <v>353</v>
      </c>
      <c r="C469" s="30" t="s">
        <v>309</v>
      </c>
      <c r="D469" s="101">
        <v>90</v>
      </c>
      <c r="E469" s="25"/>
      <c r="F469" s="99">
        <f>2.9-0.2-0.195-0.195</f>
        <v>2.31</v>
      </c>
    </row>
    <row r="470" spans="2:6" x14ac:dyDescent="0.2">
      <c r="B470" s="101" t="s">
        <v>353</v>
      </c>
      <c r="C470" s="30" t="s">
        <v>309</v>
      </c>
      <c r="D470" s="101">
        <v>120</v>
      </c>
      <c r="E470" s="25"/>
      <c r="F470" s="99">
        <f>12-4.35-0.36-0.33-0.38</f>
        <v>6.58</v>
      </c>
    </row>
    <row r="471" spans="2:6" x14ac:dyDescent="0.2">
      <c r="B471" s="101" t="s">
        <v>353</v>
      </c>
      <c r="C471" s="30" t="s">
        <v>1567</v>
      </c>
      <c r="D471" s="101">
        <v>60</v>
      </c>
      <c r="E471" s="25"/>
      <c r="F471" s="99">
        <f>0.33-0.105</f>
        <v>0.22500000000000003</v>
      </c>
    </row>
    <row r="472" spans="2:6" x14ac:dyDescent="0.2">
      <c r="B472" s="101" t="s">
        <v>353</v>
      </c>
      <c r="C472" s="30" t="s">
        <v>1596</v>
      </c>
      <c r="D472" s="101">
        <v>100</v>
      </c>
      <c r="E472" s="183"/>
      <c r="F472" s="99">
        <v>4.99</v>
      </c>
    </row>
    <row r="473" spans="2:6" x14ac:dyDescent="0.2">
      <c r="B473" s="101" t="s">
        <v>353</v>
      </c>
      <c r="C473" s="30" t="s">
        <v>1596</v>
      </c>
      <c r="D473" s="101">
        <v>100</v>
      </c>
      <c r="E473" s="183"/>
      <c r="F473" s="99">
        <v>1.1000000000000001</v>
      </c>
    </row>
    <row r="474" spans="2:6" x14ac:dyDescent="0.2">
      <c r="B474" s="101" t="s">
        <v>353</v>
      </c>
      <c r="C474" s="30" t="s">
        <v>1544</v>
      </c>
      <c r="D474" s="101">
        <v>30</v>
      </c>
      <c r="E474" s="183"/>
      <c r="F474" s="99"/>
    </row>
    <row r="475" spans="2:6" x14ac:dyDescent="0.2">
      <c r="B475" s="101" t="s">
        <v>353</v>
      </c>
      <c r="C475" s="30" t="s">
        <v>1573</v>
      </c>
      <c r="D475" s="101">
        <v>62</v>
      </c>
      <c r="E475" s="25"/>
      <c r="F475" s="99">
        <f>1.25-0.025-0.1-0.09-0.09</f>
        <v>0.94499999999999995</v>
      </c>
    </row>
    <row r="476" spans="2:6" x14ac:dyDescent="0.2">
      <c r="B476" s="101" t="s">
        <v>353</v>
      </c>
      <c r="C476" s="30" t="s">
        <v>1573</v>
      </c>
      <c r="D476" s="101">
        <v>105</v>
      </c>
      <c r="E476" s="183"/>
      <c r="F476" s="99">
        <f>2.38-0.38-0.1-0.105-0.39-0.39-0.35-0.38</f>
        <v>0.2849999999999997</v>
      </c>
    </row>
    <row r="477" spans="2:6" x14ac:dyDescent="0.2">
      <c r="B477" s="101" t="s">
        <v>353</v>
      </c>
      <c r="C477" s="30" t="s">
        <v>1552</v>
      </c>
      <c r="D477" s="101">
        <v>35</v>
      </c>
      <c r="E477" s="183"/>
      <c r="F477" s="99">
        <f>1.04-0.04-0.04</f>
        <v>0.96</v>
      </c>
    </row>
    <row r="478" spans="2:6" x14ac:dyDescent="0.2">
      <c r="B478" s="101" t="s">
        <v>353</v>
      </c>
      <c r="C478" s="30" t="s">
        <v>1539</v>
      </c>
      <c r="D478" s="101">
        <v>24</v>
      </c>
      <c r="E478" s="183"/>
      <c r="F478" s="99">
        <v>19.13</v>
      </c>
    </row>
    <row r="479" spans="2:6" x14ac:dyDescent="0.2">
      <c r="B479" s="101" t="s">
        <v>353</v>
      </c>
      <c r="C479" s="30" t="s">
        <v>1539</v>
      </c>
      <c r="D479" s="101">
        <v>80</v>
      </c>
      <c r="E479" s="183"/>
      <c r="F479" s="99">
        <f>19.53-13.61-1.14-0.28-0.93-0.14-0.21</f>
        <v>3.2200000000000015</v>
      </c>
    </row>
    <row r="480" spans="2:6" x14ac:dyDescent="0.2">
      <c r="B480" s="101" t="s">
        <v>353</v>
      </c>
      <c r="C480" s="30" t="s">
        <v>1539</v>
      </c>
      <c r="D480" s="101">
        <v>150</v>
      </c>
      <c r="E480" s="183"/>
      <c r="F480" s="99">
        <v>1.42</v>
      </c>
    </row>
    <row r="481" spans="2:6" x14ac:dyDescent="0.2">
      <c r="B481" s="101" t="s">
        <v>353</v>
      </c>
      <c r="C481" s="30" t="s">
        <v>1539</v>
      </c>
      <c r="D481" s="101">
        <v>200</v>
      </c>
      <c r="E481" s="183"/>
      <c r="F481" s="99">
        <v>8</v>
      </c>
    </row>
    <row r="482" spans="2:6" x14ac:dyDescent="0.2">
      <c r="B482" s="36" t="s">
        <v>353</v>
      </c>
      <c r="C482" s="176" t="s">
        <v>820</v>
      </c>
      <c r="D482" s="36">
        <v>90</v>
      </c>
      <c r="E482" s="44">
        <v>4.95</v>
      </c>
      <c r="F482" s="45">
        <v>0.59</v>
      </c>
    </row>
    <row r="483" spans="2:6" x14ac:dyDescent="0.2">
      <c r="B483" s="36" t="s">
        <v>353</v>
      </c>
      <c r="C483" s="176" t="s">
        <v>820</v>
      </c>
      <c r="D483" s="36">
        <v>100</v>
      </c>
      <c r="E483" s="44" t="s">
        <v>736</v>
      </c>
      <c r="F483" s="45">
        <v>0.57999999999999996</v>
      </c>
    </row>
    <row r="484" spans="2:6" x14ac:dyDescent="0.2">
      <c r="B484" s="101" t="s">
        <v>353</v>
      </c>
      <c r="C484" s="30" t="s">
        <v>1581</v>
      </c>
      <c r="D484" s="101">
        <v>80</v>
      </c>
      <c r="E484" s="183"/>
      <c r="F484" s="99">
        <v>0.32</v>
      </c>
    </row>
    <row r="485" spans="2:6" x14ac:dyDescent="0.2">
      <c r="B485" s="30" t="s">
        <v>353</v>
      </c>
      <c r="C485" s="30" t="s">
        <v>1188</v>
      </c>
      <c r="D485" s="30">
        <v>120</v>
      </c>
      <c r="E485" s="101"/>
      <c r="F485" s="99">
        <v>12.48</v>
      </c>
    </row>
    <row r="486" spans="2:6" x14ac:dyDescent="0.2">
      <c r="B486" s="4" t="s">
        <v>353</v>
      </c>
      <c r="C486" s="173" t="s">
        <v>785</v>
      </c>
      <c r="D486" s="37" t="s">
        <v>245</v>
      </c>
      <c r="E486" s="5" t="s">
        <v>786</v>
      </c>
      <c r="F486" s="39">
        <v>0.38</v>
      </c>
    </row>
    <row r="487" spans="2:6" x14ac:dyDescent="0.2">
      <c r="B487" s="36" t="s">
        <v>353</v>
      </c>
      <c r="C487" s="176" t="s">
        <v>844</v>
      </c>
      <c r="D487" s="36">
        <v>18</v>
      </c>
      <c r="E487" s="44">
        <v>3.7</v>
      </c>
      <c r="F487" s="46">
        <v>0.24</v>
      </c>
    </row>
    <row r="488" spans="2:6" x14ac:dyDescent="0.2">
      <c r="B488" s="101" t="s">
        <v>353</v>
      </c>
      <c r="C488" s="30" t="s">
        <v>1614</v>
      </c>
      <c r="D488" s="101" t="s">
        <v>1615</v>
      </c>
      <c r="E488" s="25"/>
      <c r="F488" s="99">
        <v>0.16</v>
      </c>
    </row>
    <row r="489" spans="2:6" x14ac:dyDescent="0.2">
      <c r="B489" s="101" t="s">
        <v>353</v>
      </c>
      <c r="C489" s="30" t="s">
        <v>1614</v>
      </c>
      <c r="D489" s="101" t="s">
        <v>1736</v>
      </c>
      <c r="E489" s="183"/>
      <c r="F489" s="99">
        <f>0.13+0.11</f>
        <v>0.24</v>
      </c>
    </row>
    <row r="490" spans="2:6" x14ac:dyDescent="0.2">
      <c r="B490" s="101" t="s">
        <v>353</v>
      </c>
      <c r="C490" s="30" t="s">
        <v>1614</v>
      </c>
      <c r="D490" s="101" t="s">
        <v>1753</v>
      </c>
      <c r="E490" s="183"/>
      <c r="F490" s="99">
        <f>2.1-0.44-1.07</f>
        <v>0.59000000000000008</v>
      </c>
    </row>
    <row r="491" spans="2:6" x14ac:dyDescent="0.2">
      <c r="B491" s="101" t="s">
        <v>353</v>
      </c>
      <c r="C491" s="30" t="s">
        <v>1614</v>
      </c>
      <c r="D491" s="101" t="s">
        <v>1754</v>
      </c>
      <c r="E491" s="183"/>
      <c r="F491" s="99">
        <v>0.12</v>
      </c>
    </row>
    <row r="492" spans="2:6" x14ac:dyDescent="0.2">
      <c r="B492" s="4" t="s">
        <v>353</v>
      </c>
      <c r="C492" s="173" t="s">
        <v>773</v>
      </c>
      <c r="D492" s="37" t="s">
        <v>664</v>
      </c>
      <c r="E492" s="5" t="s">
        <v>774</v>
      </c>
      <c r="F492" s="39">
        <v>0.91</v>
      </c>
    </row>
    <row r="493" spans="2:6" x14ac:dyDescent="0.2">
      <c r="B493" s="4" t="s">
        <v>353</v>
      </c>
      <c r="C493" s="173" t="s">
        <v>773</v>
      </c>
      <c r="D493" s="37" t="s">
        <v>672</v>
      </c>
      <c r="E493" s="5" t="s">
        <v>775</v>
      </c>
      <c r="F493" s="39">
        <v>1.29</v>
      </c>
    </row>
    <row r="494" spans="2:6" x14ac:dyDescent="0.2">
      <c r="B494" s="4" t="s">
        <v>353</v>
      </c>
      <c r="C494" s="173" t="s">
        <v>773</v>
      </c>
      <c r="D494" s="37" t="s">
        <v>673</v>
      </c>
      <c r="E494" s="5"/>
      <c r="F494" s="39">
        <v>0.39</v>
      </c>
    </row>
    <row r="495" spans="2:6" x14ac:dyDescent="0.2">
      <c r="B495" s="101" t="s">
        <v>353</v>
      </c>
      <c r="C495" s="30" t="s">
        <v>773</v>
      </c>
      <c r="D495" s="101">
        <v>36</v>
      </c>
      <c r="E495" s="183"/>
      <c r="F495" s="99">
        <f>1.6-0.15-0.2-0.155-0.29-0.05</f>
        <v>0.75500000000000012</v>
      </c>
    </row>
    <row r="496" spans="2:6" x14ac:dyDescent="0.2">
      <c r="B496" s="101" t="s">
        <v>353</v>
      </c>
      <c r="C496" s="30" t="s">
        <v>773</v>
      </c>
      <c r="D496" s="101">
        <v>38</v>
      </c>
      <c r="E496" s="25"/>
      <c r="F496" s="99">
        <f>0.43-0.035-0.06-0.15-0.1</f>
        <v>8.500000000000002E-2</v>
      </c>
    </row>
    <row r="497" spans="2:6" x14ac:dyDescent="0.2">
      <c r="B497" s="4" t="s">
        <v>353</v>
      </c>
      <c r="C497" s="174" t="s">
        <v>699</v>
      </c>
      <c r="D497" s="64" t="s">
        <v>655</v>
      </c>
      <c r="E497" s="4" t="s">
        <v>167</v>
      </c>
      <c r="F497" s="40">
        <v>0.16</v>
      </c>
    </row>
    <row r="498" spans="2:6" x14ac:dyDescent="0.2">
      <c r="B498" s="4" t="s">
        <v>353</v>
      </c>
      <c r="C498" s="174" t="s">
        <v>699</v>
      </c>
      <c r="D498" s="37" t="s">
        <v>645</v>
      </c>
      <c r="E498" s="5"/>
      <c r="F498" s="39">
        <v>4.5</v>
      </c>
    </row>
    <row r="499" spans="2:6" x14ac:dyDescent="0.2">
      <c r="B499" s="4" t="s">
        <v>353</v>
      </c>
      <c r="C499" s="173" t="s">
        <v>776</v>
      </c>
      <c r="D499" s="37" t="s">
        <v>777</v>
      </c>
      <c r="E499" s="5" t="s">
        <v>778</v>
      </c>
      <c r="F499" s="39">
        <v>0.28000000000000003</v>
      </c>
    </row>
    <row r="500" spans="2:6" x14ac:dyDescent="0.2">
      <c r="B500" s="4" t="s">
        <v>353</v>
      </c>
      <c r="C500" s="173" t="s">
        <v>776</v>
      </c>
      <c r="D500" s="37" t="s">
        <v>749</v>
      </c>
      <c r="E500" s="5">
        <v>5.42</v>
      </c>
      <c r="F500" s="39">
        <v>0.1</v>
      </c>
    </row>
    <row r="501" spans="2:6" x14ac:dyDescent="0.2">
      <c r="B501" s="4" t="s">
        <v>353</v>
      </c>
      <c r="C501" s="173" t="s">
        <v>776</v>
      </c>
      <c r="D501" s="37" t="s">
        <v>779</v>
      </c>
      <c r="E501" s="5">
        <v>2.91</v>
      </c>
      <c r="F501" s="39">
        <v>0.14000000000000001</v>
      </c>
    </row>
    <row r="502" spans="2:6" x14ac:dyDescent="0.2">
      <c r="B502" s="4" t="s">
        <v>353</v>
      </c>
      <c r="C502" s="173" t="s">
        <v>776</v>
      </c>
      <c r="D502" s="37" t="s">
        <v>664</v>
      </c>
      <c r="E502" s="5">
        <v>2.1</v>
      </c>
      <c r="F502" s="39">
        <v>0.13</v>
      </c>
    </row>
    <row r="503" spans="2:6" x14ac:dyDescent="0.2">
      <c r="B503" s="4" t="s">
        <v>353</v>
      </c>
      <c r="C503" s="176" t="s">
        <v>740</v>
      </c>
      <c r="D503" s="36">
        <v>35</v>
      </c>
      <c r="E503" s="44">
        <v>3.5</v>
      </c>
      <c r="F503" s="45">
        <v>0.46</v>
      </c>
    </row>
    <row r="504" spans="2:6" x14ac:dyDescent="0.2">
      <c r="B504" s="4" t="s">
        <v>353</v>
      </c>
      <c r="C504" s="173" t="s">
        <v>780</v>
      </c>
      <c r="D504" s="37" t="s">
        <v>781</v>
      </c>
      <c r="E504" s="5"/>
      <c r="F504" s="39">
        <v>0.28000000000000003</v>
      </c>
    </row>
    <row r="505" spans="2:6" x14ac:dyDescent="0.2">
      <c r="B505" s="30" t="s">
        <v>353</v>
      </c>
      <c r="C505" s="30" t="s">
        <v>401</v>
      </c>
      <c r="D505" s="30">
        <v>200</v>
      </c>
      <c r="E505" s="101"/>
      <c r="F505" s="99">
        <v>0.34599999999999997</v>
      </c>
    </row>
    <row r="506" spans="2:6" x14ac:dyDescent="0.2">
      <c r="B506" s="101" t="s">
        <v>353</v>
      </c>
      <c r="C506" s="30" t="s">
        <v>1642</v>
      </c>
      <c r="D506" s="101" t="s">
        <v>1638</v>
      </c>
      <c r="E506" s="183"/>
      <c r="F506" s="99">
        <v>0.33</v>
      </c>
    </row>
    <row r="507" spans="2:6" x14ac:dyDescent="0.2">
      <c r="B507" s="101" t="s">
        <v>353</v>
      </c>
      <c r="C507" s="30" t="s">
        <v>1547</v>
      </c>
      <c r="D507" s="101">
        <v>33</v>
      </c>
      <c r="E507" s="25"/>
      <c r="F507" s="99">
        <f>0.46-0.08</f>
        <v>0.38</v>
      </c>
    </row>
    <row r="508" spans="2:6" x14ac:dyDescent="0.2">
      <c r="B508" s="101" t="s">
        <v>353</v>
      </c>
      <c r="C508" s="30" t="s">
        <v>1617</v>
      </c>
      <c r="D508" s="101">
        <v>150</v>
      </c>
      <c r="E508" s="25"/>
      <c r="F508" s="99">
        <f>0.86-0.24</f>
        <v>0.62</v>
      </c>
    </row>
    <row r="509" spans="2:6" x14ac:dyDescent="0.2">
      <c r="B509" s="4" t="s">
        <v>353</v>
      </c>
      <c r="C509" s="173" t="s">
        <v>698</v>
      </c>
      <c r="D509" s="63" t="s">
        <v>57</v>
      </c>
      <c r="E509" s="4" t="s">
        <v>164</v>
      </c>
      <c r="F509" s="38">
        <v>1.1499999999999999</v>
      </c>
    </row>
    <row r="510" spans="2:6" x14ac:dyDescent="0.2">
      <c r="B510" s="4" t="s">
        <v>353</v>
      </c>
      <c r="C510" s="174" t="s">
        <v>414</v>
      </c>
      <c r="D510" s="63" t="s">
        <v>672</v>
      </c>
      <c r="E510" s="4"/>
      <c r="F510" s="38">
        <v>0.57999999999999996</v>
      </c>
    </row>
    <row r="511" spans="2:6" x14ac:dyDescent="0.2">
      <c r="B511" s="4" t="s">
        <v>353</v>
      </c>
      <c r="C511" s="174" t="s">
        <v>414</v>
      </c>
      <c r="D511" s="63" t="s">
        <v>386</v>
      </c>
      <c r="E511" s="82">
        <v>5.12</v>
      </c>
      <c r="F511" s="40">
        <v>0.8</v>
      </c>
    </row>
    <row r="512" spans="2:6" x14ac:dyDescent="0.2">
      <c r="B512" s="30" t="s">
        <v>353</v>
      </c>
      <c r="C512" s="30" t="s">
        <v>414</v>
      </c>
      <c r="D512" s="30">
        <v>220</v>
      </c>
      <c r="E512" s="101"/>
      <c r="F512" s="99">
        <v>0.2</v>
      </c>
    </row>
    <row r="513" spans="2:6" x14ac:dyDescent="0.2">
      <c r="B513" s="101" t="s">
        <v>353</v>
      </c>
      <c r="C513" s="30" t="s">
        <v>414</v>
      </c>
      <c r="D513" s="101">
        <v>22</v>
      </c>
      <c r="E513" s="183"/>
      <c r="F513" s="99">
        <v>0.01</v>
      </c>
    </row>
    <row r="514" spans="2:6" x14ac:dyDescent="0.2">
      <c r="B514" s="101" t="s">
        <v>353</v>
      </c>
      <c r="C514" s="30" t="s">
        <v>414</v>
      </c>
      <c r="D514" s="101">
        <v>30</v>
      </c>
      <c r="E514" s="25"/>
      <c r="F514" s="99">
        <v>0.03</v>
      </c>
    </row>
    <row r="515" spans="2:6" x14ac:dyDescent="0.2">
      <c r="B515" s="101" t="s">
        <v>353</v>
      </c>
      <c r="C515" s="30" t="s">
        <v>414</v>
      </c>
      <c r="D515" s="101">
        <v>36</v>
      </c>
      <c r="E515" s="25"/>
      <c r="F515" s="99">
        <v>7.0000000000000007E-2</v>
      </c>
    </row>
    <row r="516" spans="2:6" x14ac:dyDescent="0.2">
      <c r="B516" s="101" t="s">
        <v>353</v>
      </c>
      <c r="C516" s="30" t="s">
        <v>414</v>
      </c>
      <c r="D516" s="101">
        <v>160</v>
      </c>
      <c r="E516" s="183"/>
      <c r="F516" s="99">
        <f>0.97-0.64</f>
        <v>0.32999999999999996</v>
      </c>
    </row>
    <row r="517" spans="2:6" x14ac:dyDescent="0.2">
      <c r="B517" s="101" t="s">
        <v>353</v>
      </c>
      <c r="C517" s="30" t="s">
        <v>414</v>
      </c>
      <c r="D517" s="101">
        <v>180</v>
      </c>
      <c r="E517" s="183"/>
      <c r="F517" s="99">
        <f>7.29+0.31</f>
        <v>7.6</v>
      </c>
    </row>
    <row r="518" spans="2:6" x14ac:dyDescent="0.2">
      <c r="B518" s="4" t="s">
        <v>353</v>
      </c>
      <c r="C518" s="173" t="s">
        <v>782</v>
      </c>
      <c r="D518" s="37" t="s">
        <v>669</v>
      </c>
      <c r="E518" s="5">
        <v>3</v>
      </c>
      <c r="F518" s="39">
        <v>1.86</v>
      </c>
    </row>
    <row r="519" spans="2:6" x14ac:dyDescent="0.2">
      <c r="B519" s="101" t="s">
        <v>353</v>
      </c>
      <c r="C519" s="30" t="s">
        <v>1587</v>
      </c>
      <c r="D519" s="101">
        <v>85</v>
      </c>
      <c r="E519" s="25"/>
      <c r="F519" s="99">
        <v>0.47</v>
      </c>
    </row>
    <row r="520" spans="2:6" x14ac:dyDescent="0.2">
      <c r="B520" s="101" t="s">
        <v>353</v>
      </c>
      <c r="C520" s="30" t="s">
        <v>1606</v>
      </c>
      <c r="D520" s="101">
        <v>120</v>
      </c>
      <c r="E520" s="183"/>
      <c r="F520" s="99">
        <v>0.1</v>
      </c>
    </row>
    <row r="521" spans="2:6" x14ac:dyDescent="0.2">
      <c r="B521" s="4" t="s">
        <v>353</v>
      </c>
      <c r="C521" s="173" t="s">
        <v>212</v>
      </c>
      <c r="D521" s="63" t="s">
        <v>280</v>
      </c>
      <c r="E521" s="4" t="s">
        <v>157</v>
      </c>
      <c r="F521" s="38" t="s">
        <v>158</v>
      </c>
    </row>
    <row r="522" spans="2:6" x14ac:dyDescent="0.2">
      <c r="B522" s="4" t="s">
        <v>353</v>
      </c>
      <c r="C522" s="173" t="s">
        <v>212</v>
      </c>
      <c r="D522" s="64" t="s">
        <v>658</v>
      </c>
      <c r="E522" s="4" t="s">
        <v>28</v>
      </c>
      <c r="F522" s="39">
        <v>0.4</v>
      </c>
    </row>
    <row r="523" spans="2:6" x14ac:dyDescent="0.2">
      <c r="B523" s="4" t="s">
        <v>353</v>
      </c>
      <c r="C523" s="173" t="s">
        <v>212</v>
      </c>
      <c r="D523" s="37" t="s">
        <v>660</v>
      </c>
      <c r="E523" s="4" t="s">
        <v>28</v>
      </c>
      <c r="F523" s="39">
        <v>0.6</v>
      </c>
    </row>
    <row r="524" spans="2:6" x14ac:dyDescent="0.2">
      <c r="B524" s="4" t="s">
        <v>353</v>
      </c>
      <c r="C524" s="173" t="s">
        <v>212</v>
      </c>
      <c r="D524" s="37" t="s">
        <v>661</v>
      </c>
      <c r="E524" s="5" t="s">
        <v>172</v>
      </c>
      <c r="F524" s="39">
        <v>0.24</v>
      </c>
    </row>
    <row r="525" spans="2:6" x14ac:dyDescent="0.2">
      <c r="B525" s="4" t="s">
        <v>353</v>
      </c>
      <c r="C525" s="174" t="s">
        <v>212</v>
      </c>
      <c r="D525" s="63" t="s">
        <v>666</v>
      </c>
      <c r="E525" s="4" t="s">
        <v>297</v>
      </c>
      <c r="F525" s="40">
        <v>8.3699999999999992</v>
      </c>
    </row>
    <row r="526" spans="2:6" x14ac:dyDescent="0.2">
      <c r="B526" s="78" t="s">
        <v>353</v>
      </c>
      <c r="C526" s="174" t="s">
        <v>212</v>
      </c>
      <c r="D526" s="36">
        <v>150</v>
      </c>
      <c r="E526" s="44" t="s">
        <v>888</v>
      </c>
      <c r="F526" s="45">
        <v>4.21</v>
      </c>
    </row>
    <row r="527" spans="2:6" x14ac:dyDescent="0.2">
      <c r="B527" s="78" t="s">
        <v>353</v>
      </c>
      <c r="C527" s="174" t="s">
        <v>212</v>
      </c>
      <c r="D527" s="2">
        <v>210</v>
      </c>
      <c r="E527" s="4" t="s">
        <v>28</v>
      </c>
      <c r="F527" s="39">
        <v>0.11</v>
      </c>
    </row>
    <row r="528" spans="2:6" x14ac:dyDescent="0.2">
      <c r="B528" s="78" t="s">
        <v>353</v>
      </c>
      <c r="C528" s="174" t="s">
        <v>212</v>
      </c>
      <c r="D528" s="2">
        <v>240</v>
      </c>
      <c r="E528" s="4" t="s">
        <v>28</v>
      </c>
      <c r="F528" s="39">
        <v>2.3250000000000002</v>
      </c>
    </row>
    <row r="529" spans="2:6" x14ac:dyDescent="0.2">
      <c r="B529" s="30" t="s">
        <v>353</v>
      </c>
      <c r="C529" s="30" t="s">
        <v>212</v>
      </c>
      <c r="D529" s="30">
        <v>120</v>
      </c>
      <c r="E529" s="101"/>
      <c r="F529" s="99">
        <f>1.608-0.126-0.29-0.244-0.1-0.192</f>
        <v>0.65600000000000014</v>
      </c>
    </row>
    <row r="530" spans="2:6" x14ac:dyDescent="0.2">
      <c r="B530" s="101" t="s">
        <v>353</v>
      </c>
      <c r="C530" s="30" t="s">
        <v>212</v>
      </c>
      <c r="D530" s="101">
        <v>40</v>
      </c>
      <c r="E530" s="25"/>
      <c r="F530" s="99">
        <v>1.17</v>
      </c>
    </row>
    <row r="531" spans="2:6" x14ac:dyDescent="0.2">
      <c r="B531" s="101" t="s">
        <v>353</v>
      </c>
      <c r="C531" s="30" t="s">
        <v>212</v>
      </c>
      <c r="D531" s="101" t="s">
        <v>2442</v>
      </c>
      <c r="E531" s="25"/>
      <c r="F531" s="99">
        <f>1.74-0.63-0.47</f>
        <v>0.6399999999999999</v>
      </c>
    </row>
    <row r="532" spans="2:6" x14ac:dyDescent="0.2">
      <c r="B532" s="101" t="s">
        <v>353</v>
      </c>
      <c r="C532" s="30" t="s">
        <v>212</v>
      </c>
      <c r="D532" s="101">
        <v>140</v>
      </c>
      <c r="E532" s="183"/>
      <c r="F532" s="99">
        <v>0.23</v>
      </c>
    </row>
    <row r="533" spans="2:6" x14ac:dyDescent="0.2">
      <c r="B533" s="101" t="s">
        <v>353</v>
      </c>
      <c r="C533" s="30" t="s">
        <v>212</v>
      </c>
      <c r="D533" s="101">
        <v>150</v>
      </c>
      <c r="E533" s="25"/>
      <c r="F533" s="99">
        <f>2.1-0.17</f>
        <v>1.9300000000000002</v>
      </c>
    </row>
    <row r="534" spans="2:6" x14ac:dyDescent="0.2">
      <c r="B534" s="101" t="s">
        <v>353</v>
      </c>
      <c r="C534" s="30" t="s">
        <v>212</v>
      </c>
      <c r="D534" s="101">
        <v>220</v>
      </c>
      <c r="E534" s="25"/>
      <c r="F534" s="99">
        <v>1.43</v>
      </c>
    </row>
    <row r="535" spans="2:6" x14ac:dyDescent="0.2">
      <c r="B535" s="4" t="s">
        <v>353</v>
      </c>
      <c r="C535" s="174" t="s">
        <v>703</v>
      </c>
      <c r="D535" s="37" t="s">
        <v>659</v>
      </c>
      <c r="E535" s="5" t="s">
        <v>35</v>
      </c>
      <c r="F535" s="39">
        <v>0.20499999999999999</v>
      </c>
    </row>
    <row r="536" spans="2:6" x14ac:dyDescent="0.2">
      <c r="B536" s="4" t="s">
        <v>353</v>
      </c>
      <c r="C536" s="174" t="s">
        <v>703</v>
      </c>
      <c r="D536" s="37" t="s">
        <v>659</v>
      </c>
      <c r="E536" s="5" t="s">
        <v>35</v>
      </c>
      <c r="F536" s="39">
        <v>0.21</v>
      </c>
    </row>
    <row r="537" spans="2:6" x14ac:dyDescent="0.2">
      <c r="B537" s="4" t="s">
        <v>353</v>
      </c>
      <c r="C537" s="174" t="s">
        <v>484</v>
      </c>
      <c r="D537" s="37" t="s">
        <v>662</v>
      </c>
      <c r="E537" s="5" t="s">
        <v>39</v>
      </c>
      <c r="F537" s="39">
        <v>0.65</v>
      </c>
    </row>
    <row r="538" spans="2:6" x14ac:dyDescent="0.2">
      <c r="B538" s="101" t="s">
        <v>353</v>
      </c>
      <c r="C538" s="30" t="s">
        <v>1586</v>
      </c>
      <c r="D538" s="101">
        <v>85</v>
      </c>
      <c r="E538" s="183"/>
      <c r="F538" s="99">
        <v>3.32</v>
      </c>
    </row>
    <row r="539" spans="2:6" x14ac:dyDescent="0.2">
      <c r="B539" s="36" t="s">
        <v>353</v>
      </c>
      <c r="C539" s="176" t="s">
        <v>219</v>
      </c>
      <c r="D539" s="37" t="s">
        <v>654</v>
      </c>
      <c r="E539" s="5" t="s">
        <v>750</v>
      </c>
      <c r="F539" s="39">
        <v>0.28999999999999998</v>
      </c>
    </row>
    <row r="540" spans="2:6" x14ac:dyDescent="0.2">
      <c r="B540" s="36" t="s">
        <v>353</v>
      </c>
      <c r="C540" s="176" t="s">
        <v>219</v>
      </c>
      <c r="D540" s="37" t="s">
        <v>57</v>
      </c>
      <c r="E540" s="5" t="s">
        <v>751</v>
      </c>
      <c r="F540" s="39">
        <v>0.2</v>
      </c>
    </row>
    <row r="541" spans="2:6" x14ac:dyDescent="0.2">
      <c r="B541" s="36" t="s">
        <v>353</v>
      </c>
      <c r="C541" s="176" t="s">
        <v>219</v>
      </c>
      <c r="D541" s="37" t="s">
        <v>58</v>
      </c>
      <c r="E541" s="5" t="s">
        <v>752</v>
      </c>
      <c r="F541" s="39">
        <v>0.46</v>
      </c>
    </row>
    <row r="542" spans="2:6" x14ac:dyDescent="0.2">
      <c r="B542" s="36" t="s">
        <v>353</v>
      </c>
      <c r="C542" s="176" t="s">
        <v>219</v>
      </c>
      <c r="D542" s="37" t="s">
        <v>656</v>
      </c>
      <c r="E542" s="5" t="s">
        <v>753</v>
      </c>
      <c r="F542" s="39">
        <v>0.31</v>
      </c>
    </row>
    <row r="543" spans="2:6" x14ac:dyDescent="0.2">
      <c r="B543" s="36" t="s">
        <v>353</v>
      </c>
      <c r="C543" s="176" t="s">
        <v>219</v>
      </c>
      <c r="D543" s="37" t="s">
        <v>749</v>
      </c>
      <c r="E543" s="5" t="s">
        <v>754</v>
      </c>
      <c r="F543" s="39">
        <v>0.18</v>
      </c>
    </row>
    <row r="544" spans="2:6" x14ac:dyDescent="0.2">
      <c r="B544" s="36" t="s">
        <v>353</v>
      </c>
      <c r="C544" s="176" t="s">
        <v>219</v>
      </c>
      <c r="D544" s="37" t="s">
        <v>61</v>
      </c>
      <c r="E544" s="5" t="s">
        <v>755</v>
      </c>
      <c r="F544" s="39">
        <v>0.38</v>
      </c>
    </row>
    <row r="545" spans="2:6" x14ac:dyDescent="0.2">
      <c r="B545" s="36" t="s">
        <v>353</v>
      </c>
      <c r="C545" s="176" t="s">
        <v>219</v>
      </c>
      <c r="D545" s="37" t="s">
        <v>659</v>
      </c>
      <c r="E545" s="5" t="s">
        <v>151</v>
      </c>
      <c r="F545" s="39">
        <v>1.45</v>
      </c>
    </row>
    <row r="546" spans="2:6" x14ac:dyDescent="0.2">
      <c r="B546" s="36" t="s">
        <v>353</v>
      </c>
      <c r="C546" s="176" t="s">
        <v>219</v>
      </c>
      <c r="D546" s="37" t="s">
        <v>660</v>
      </c>
      <c r="E546" s="5" t="s">
        <v>756</v>
      </c>
      <c r="F546" s="39">
        <v>0.64</v>
      </c>
    </row>
    <row r="547" spans="2:6" x14ac:dyDescent="0.2">
      <c r="B547" s="36" t="s">
        <v>353</v>
      </c>
      <c r="C547" s="176" t="s">
        <v>219</v>
      </c>
      <c r="D547" s="37" t="s">
        <v>661</v>
      </c>
      <c r="E547" s="5" t="s">
        <v>757</v>
      </c>
      <c r="F547" s="39">
        <v>2.68</v>
      </c>
    </row>
    <row r="548" spans="2:6" x14ac:dyDescent="0.2">
      <c r="B548" s="36" t="s">
        <v>353</v>
      </c>
      <c r="C548" s="176" t="s">
        <v>219</v>
      </c>
      <c r="D548" s="37" t="s">
        <v>663</v>
      </c>
      <c r="E548" s="5" t="s">
        <v>758</v>
      </c>
      <c r="F548" s="39">
        <v>0.43</v>
      </c>
    </row>
    <row r="549" spans="2:6" x14ac:dyDescent="0.2">
      <c r="B549" s="36" t="s">
        <v>353</v>
      </c>
      <c r="C549" s="176" t="s">
        <v>219</v>
      </c>
      <c r="D549" s="62">
        <v>95</v>
      </c>
      <c r="E549" s="70">
        <v>5.43</v>
      </c>
      <c r="F549" s="70">
        <v>0.31</v>
      </c>
    </row>
    <row r="550" spans="2:6" x14ac:dyDescent="0.2">
      <c r="B550" s="36" t="s">
        <v>353</v>
      </c>
      <c r="C550" s="176" t="s">
        <v>219</v>
      </c>
      <c r="D550" s="62">
        <v>170</v>
      </c>
      <c r="E550" s="70" t="s">
        <v>759</v>
      </c>
      <c r="F550" s="70">
        <v>2.76</v>
      </c>
    </row>
    <row r="551" spans="2:6" x14ac:dyDescent="0.2">
      <c r="B551" s="30" t="s">
        <v>353</v>
      </c>
      <c r="C551" s="30" t="s">
        <v>219</v>
      </c>
      <c r="D551" s="30">
        <v>220</v>
      </c>
      <c r="E551" s="101"/>
      <c r="F551" s="99">
        <v>0.54200000000000004</v>
      </c>
    </row>
    <row r="552" spans="2:6" x14ac:dyDescent="0.2">
      <c r="B552" s="101" t="s">
        <v>353</v>
      </c>
      <c r="C552" s="30" t="s">
        <v>1555</v>
      </c>
      <c r="D552" s="101">
        <v>40</v>
      </c>
      <c r="E552" s="183"/>
      <c r="F552" s="99">
        <f>4.12-0.05-0.08-0.04-0.08-0.05-0.19-0.045-0.2-0.08-0.04-0.075-0.11-0.04-0.04-0.08-0.04-0.04-0.11-0.08-0.11-0.12</f>
        <v>2.42</v>
      </c>
    </row>
    <row r="553" spans="2:6" x14ac:dyDescent="0.2">
      <c r="B553" s="101" t="s">
        <v>353</v>
      </c>
      <c r="C553" s="30" t="s">
        <v>1555</v>
      </c>
      <c r="D553" s="101">
        <v>75</v>
      </c>
      <c r="E553" s="183"/>
      <c r="F553" s="99">
        <f>4.77-0.08-0.49-0.47-0.16</f>
        <v>3.5699999999999994</v>
      </c>
    </row>
    <row r="554" spans="2:6" x14ac:dyDescent="0.2">
      <c r="B554" s="101" t="s">
        <v>353</v>
      </c>
      <c r="C554" s="30" t="s">
        <v>1555</v>
      </c>
      <c r="D554" s="101">
        <v>75</v>
      </c>
      <c r="E554" s="183"/>
      <c r="F554" s="99">
        <f>1.17-0.11-0.12-0.09</f>
        <v>0.84999999999999987</v>
      </c>
    </row>
    <row r="555" spans="2:6" x14ac:dyDescent="0.2">
      <c r="B555" s="101" t="s">
        <v>353</v>
      </c>
      <c r="C555" s="30" t="s">
        <v>1555</v>
      </c>
      <c r="D555" s="101">
        <v>80</v>
      </c>
      <c r="E555" s="101"/>
      <c r="F555" s="99">
        <v>0.16</v>
      </c>
    </row>
    <row r="556" spans="2:6" x14ac:dyDescent="0.2">
      <c r="B556" s="30" t="s">
        <v>353</v>
      </c>
      <c r="C556" s="30" t="s">
        <v>419</v>
      </c>
      <c r="D556" s="30">
        <v>210</v>
      </c>
      <c r="E556" s="101"/>
      <c r="F556" s="99">
        <f>4.366-1.404</f>
        <v>2.9619999999999997</v>
      </c>
    </row>
    <row r="557" spans="2:6" x14ac:dyDescent="0.2">
      <c r="B557" s="4" t="s">
        <v>353</v>
      </c>
      <c r="C557" s="173" t="s">
        <v>783</v>
      </c>
      <c r="D557" s="37" t="s">
        <v>661</v>
      </c>
      <c r="E557" s="5" t="s">
        <v>784</v>
      </c>
      <c r="F557" s="39">
        <v>0.25</v>
      </c>
    </row>
    <row r="558" spans="2:6" x14ac:dyDescent="0.2">
      <c r="B558" s="4" t="s">
        <v>353</v>
      </c>
      <c r="C558" s="173" t="s">
        <v>783</v>
      </c>
      <c r="D558" s="37" t="s">
        <v>668</v>
      </c>
      <c r="E558" s="5">
        <v>1.25</v>
      </c>
      <c r="F558" s="39">
        <v>0.11</v>
      </c>
    </row>
    <row r="559" spans="2:6" x14ac:dyDescent="0.2">
      <c r="B559" s="4" t="s">
        <v>353</v>
      </c>
      <c r="C559" s="174" t="s">
        <v>402</v>
      </c>
      <c r="D559" s="36" t="s">
        <v>744</v>
      </c>
      <c r="E559" s="44">
        <v>1</v>
      </c>
      <c r="F559" s="45">
        <v>1.59</v>
      </c>
    </row>
    <row r="560" spans="2:6" x14ac:dyDescent="0.2">
      <c r="B560" s="4" t="s">
        <v>353</v>
      </c>
      <c r="C560" s="174" t="s">
        <v>402</v>
      </c>
      <c r="D560" s="36" t="s">
        <v>745</v>
      </c>
      <c r="E560" s="44">
        <v>1.1499999999999999</v>
      </c>
      <c r="F560" s="45">
        <v>1.93</v>
      </c>
    </row>
    <row r="561" spans="2:6" x14ac:dyDescent="0.2">
      <c r="B561" s="4" t="s">
        <v>353</v>
      </c>
      <c r="C561" s="174" t="s">
        <v>402</v>
      </c>
      <c r="D561" s="63" t="s">
        <v>678</v>
      </c>
      <c r="E561" s="82">
        <v>0.7</v>
      </c>
      <c r="F561" s="40">
        <v>0.47</v>
      </c>
    </row>
    <row r="562" spans="2:6" x14ac:dyDescent="0.2">
      <c r="B562" s="4" t="s">
        <v>353</v>
      </c>
      <c r="C562" s="174" t="s">
        <v>402</v>
      </c>
      <c r="D562" s="37" t="s">
        <v>647</v>
      </c>
      <c r="E562" s="4" t="s">
        <v>28</v>
      </c>
      <c r="F562" s="39">
        <v>1.94</v>
      </c>
    </row>
    <row r="563" spans="2:6" x14ac:dyDescent="0.2">
      <c r="B563" s="30" t="s">
        <v>353</v>
      </c>
      <c r="C563" s="30" t="s">
        <v>402</v>
      </c>
      <c r="D563" s="30" t="s">
        <v>2666</v>
      </c>
      <c r="E563" s="101"/>
      <c r="F563" s="99">
        <f>0.885+0.85-0.885+0.53+0.95-0.246-0.358-0.492-0.288-0.124</f>
        <v>0.82199999999999995</v>
      </c>
    </row>
    <row r="564" spans="2:6" x14ac:dyDescent="0.2">
      <c r="B564" s="30" t="s">
        <v>353</v>
      </c>
      <c r="C564" s="30" t="s">
        <v>402</v>
      </c>
      <c r="D564" s="30">
        <v>990</v>
      </c>
      <c r="E564" s="101"/>
      <c r="F564" s="99">
        <f>7.98-7.98+(5.37)-5.37+5.37</f>
        <v>5.37</v>
      </c>
    </row>
    <row r="565" spans="2:6" x14ac:dyDescent="0.2">
      <c r="B565" s="101" t="s">
        <v>353</v>
      </c>
      <c r="C565" s="30" t="s">
        <v>402</v>
      </c>
      <c r="D565" s="101" t="s">
        <v>1655</v>
      </c>
      <c r="E565" s="25"/>
      <c r="F565" s="99"/>
    </row>
    <row r="566" spans="2:6" x14ac:dyDescent="0.2">
      <c r="B566" s="101" t="s">
        <v>353</v>
      </c>
      <c r="C566" s="30" t="s">
        <v>402</v>
      </c>
      <c r="D566" s="101" t="s">
        <v>2470</v>
      </c>
      <c r="E566" s="25"/>
      <c r="F566" s="99">
        <v>0.06</v>
      </c>
    </row>
    <row r="567" spans="2:6" x14ac:dyDescent="0.2">
      <c r="B567" s="101" t="s">
        <v>353</v>
      </c>
      <c r="C567" s="30" t="s">
        <v>402</v>
      </c>
      <c r="D567" s="101">
        <v>280</v>
      </c>
      <c r="E567" s="25"/>
      <c r="F567" s="99">
        <v>0.08</v>
      </c>
    </row>
    <row r="568" spans="2:6" x14ac:dyDescent="0.2">
      <c r="B568" s="101" t="s">
        <v>353</v>
      </c>
      <c r="C568" s="30" t="s">
        <v>402</v>
      </c>
      <c r="D568" s="101" t="s">
        <v>1701</v>
      </c>
      <c r="E568" s="25"/>
      <c r="F568" s="99">
        <v>0.56999999999999995</v>
      </c>
    </row>
    <row r="569" spans="2:6" x14ac:dyDescent="0.2">
      <c r="B569" s="101" t="s">
        <v>353</v>
      </c>
      <c r="C569" s="30" t="s">
        <v>402</v>
      </c>
      <c r="D569" s="101" t="s">
        <v>1702</v>
      </c>
      <c r="E569" s="25"/>
      <c r="F569" s="99">
        <v>0.6</v>
      </c>
    </row>
    <row r="570" spans="2:6" x14ac:dyDescent="0.2">
      <c r="B570" s="101" t="s">
        <v>353</v>
      </c>
      <c r="C570" s="30" t="s">
        <v>402</v>
      </c>
      <c r="D570" s="101" t="s">
        <v>1722</v>
      </c>
      <c r="E570" s="183"/>
      <c r="F570" s="99"/>
    </row>
    <row r="571" spans="2:6" x14ac:dyDescent="0.2">
      <c r="B571" s="101" t="s">
        <v>353</v>
      </c>
      <c r="C571" s="30" t="s">
        <v>402</v>
      </c>
      <c r="D571" s="101" t="s">
        <v>1702</v>
      </c>
      <c r="E571" s="25"/>
      <c r="F571" s="99">
        <v>0.6</v>
      </c>
    </row>
    <row r="572" spans="2:6" x14ac:dyDescent="0.2">
      <c r="B572" s="78" t="s">
        <v>353</v>
      </c>
      <c r="C572" s="174" t="s">
        <v>693</v>
      </c>
      <c r="D572" s="2" t="s">
        <v>111</v>
      </c>
      <c r="E572" s="4"/>
      <c r="F572" s="39">
        <v>0.36</v>
      </c>
    </row>
    <row r="573" spans="2:6" x14ac:dyDescent="0.2">
      <c r="B573" s="101" t="s">
        <v>353</v>
      </c>
      <c r="C573" s="30" t="s">
        <v>1703</v>
      </c>
      <c r="D573" s="101" t="s">
        <v>2475</v>
      </c>
      <c r="E573" s="183"/>
      <c r="F573" s="99">
        <v>1.57</v>
      </c>
    </row>
    <row r="574" spans="2:6" x14ac:dyDescent="0.2">
      <c r="B574" s="101" t="s">
        <v>353</v>
      </c>
      <c r="C574" s="30" t="s">
        <v>1667</v>
      </c>
      <c r="D574" s="101">
        <v>260</v>
      </c>
      <c r="E574" s="25"/>
      <c r="F574" s="99">
        <v>2.91</v>
      </c>
    </row>
    <row r="575" spans="2:6" x14ac:dyDescent="0.2">
      <c r="B575" s="101" t="s">
        <v>353</v>
      </c>
      <c r="C575" s="30" t="s">
        <v>302</v>
      </c>
      <c r="D575" s="101">
        <v>110</v>
      </c>
      <c r="E575" s="183"/>
      <c r="F575" s="99">
        <v>0.87</v>
      </c>
    </row>
    <row r="576" spans="2:6" x14ac:dyDescent="0.2">
      <c r="B576" s="101" t="s">
        <v>353</v>
      </c>
      <c r="C576" s="30" t="s">
        <v>1603</v>
      </c>
      <c r="D576" s="101">
        <v>110</v>
      </c>
      <c r="E576" s="183"/>
      <c r="F576" s="99">
        <v>0.17</v>
      </c>
    </row>
    <row r="577" spans="2:6" x14ac:dyDescent="0.2">
      <c r="B577" s="101" t="s">
        <v>353</v>
      </c>
      <c r="C577" s="30" t="s">
        <v>1607</v>
      </c>
      <c r="D577" s="101">
        <v>130</v>
      </c>
      <c r="E577" s="183"/>
      <c r="F577" s="99">
        <f>3.68-0.95</f>
        <v>2.7300000000000004</v>
      </c>
    </row>
    <row r="578" spans="2:6" x14ac:dyDescent="0.2">
      <c r="B578" s="30" t="s">
        <v>353</v>
      </c>
      <c r="C578" s="30" t="s">
        <v>403</v>
      </c>
      <c r="D578" s="30">
        <v>205</v>
      </c>
      <c r="E578" s="101"/>
      <c r="F578" s="99">
        <f>1.06-0.535</f>
        <v>0.52500000000000002</v>
      </c>
    </row>
    <row r="579" spans="2:6" x14ac:dyDescent="0.2">
      <c r="B579" s="101" t="s">
        <v>353</v>
      </c>
      <c r="C579" s="30" t="s">
        <v>403</v>
      </c>
      <c r="D579" s="101">
        <v>130</v>
      </c>
      <c r="E579" s="25"/>
      <c r="F579" s="99">
        <v>0.32</v>
      </c>
    </row>
    <row r="580" spans="2:6" x14ac:dyDescent="0.2">
      <c r="B580" s="101" t="s">
        <v>353</v>
      </c>
      <c r="C580" s="30" t="s">
        <v>1583</v>
      </c>
      <c r="D580" s="101">
        <v>80</v>
      </c>
      <c r="E580" s="183"/>
      <c r="F580" s="99">
        <f>11.11-0.27-0.855-0.12-2.04-0.13-0.73</f>
        <v>6.9649999999999999</v>
      </c>
    </row>
    <row r="581" spans="2:6" x14ac:dyDescent="0.2">
      <c r="B581" s="101" t="s">
        <v>353</v>
      </c>
      <c r="C581" s="30" t="s">
        <v>1679</v>
      </c>
      <c r="D581" s="101">
        <v>270</v>
      </c>
      <c r="E581" s="25"/>
      <c r="F581" s="99">
        <v>0.46</v>
      </c>
    </row>
    <row r="582" spans="2:6" x14ac:dyDescent="0.2">
      <c r="B582" s="101" t="s">
        <v>353</v>
      </c>
      <c r="C582" s="30" t="s">
        <v>1679</v>
      </c>
      <c r="D582" s="101" t="s">
        <v>1691</v>
      </c>
      <c r="E582" s="183"/>
      <c r="F582" s="99"/>
    </row>
    <row r="583" spans="2:6" x14ac:dyDescent="0.2">
      <c r="B583" s="101" t="s">
        <v>353</v>
      </c>
      <c r="C583" s="30" t="s">
        <v>1679</v>
      </c>
      <c r="D583" s="101" t="s">
        <v>1700</v>
      </c>
      <c r="E583" s="25"/>
      <c r="F583" s="99"/>
    </row>
    <row r="584" spans="2:6" x14ac:dyDescent="0.2">
      <c r="B584" s="101" t="s">
        <v>353</v>
      </c>
      <c r="C584" s="30" t="s">
        <v>1679</v>
      </c>
      <c r="D584" s="101">
        <v>320</v>
      </c>
      <c r="E584" s="183"/>
      <c r="F584" s="99">
        <v>3.5000000000000003E-2</v>
      </c>
    </row>
    <row r="585" spans="2:6" x14ac:dyDescent="0.2">
      <c r="B585" s="101" t="s">
        <v>353</v>
      </c>
      <c r="C585" s="30" t="s">
        <v>1679</v>
      </c>
      <c r="D585" s="101" t="s">
        <v>1721</v>
      </c>
      <c r="E585" s="183"/>
      <c r="F585" s="99"/>
    </row>
    <row r="586" spans="2:6" x14ac:dyDescent="0.2">
      <c r="B586" s="101" t="s">
        <v>353</v>
      </c>
      <c r="C586" s="30" t="s">
        <v>1608</v>
      </c>
      <c r="D586" s="101" t="s">
        <v>1609</v>
      </c>
      <c r="E586" s="25"/>
      <c r="F586" s="99">
        <v>0.09</v>
      </c>
    </row>
    <row r="587" spans="2:6" x14ac:dyDescent="0.2">
      <c r="B587" s="101" t="s">
        <v>353</v>
      </c>
      <c r="C587" s="30" t="s">
        <v>1589</v>
      </c>
      <c r="D587" s="101">
        <v>90</v>
      </c>
      <c r="E587" s="25"/>
      <c r="F587" s="99">
        <f>0.4-0.24</f>
        <v>0.16000000000000003</v>
      </c>
    </row>
    <row r="588" spans="2:6" x14ac:dyDescent="0.2">
      <c r="B588" s="101" t="s">
        <v>353</v>
      </c>
      <c r="C588" s="30" t="s">
        <v>1562</v>
      </c>
      <c r="D588" s="101">
        <v>50</v>
      </c>
      <c r="E588" s="25"/>
      <c r="F588" s="99">
        <f>0.16-0.04</f>
        <v>0.12</v>
      </c>
    </row>
    <row r="589" spans="2:6" x14ac:dyDescent="0.2">
      <c r="B589" s="36" t="s">
        <v>353</v>
      </c>
      <c r="C589" s="176" t="s">
        <v>306</v>
      </c>
      <c r="D589" s="63" t="s">
        <v>280</v>
      </c>
      <c r="E589" s="82"/>
      <c r="F589" s="40">
        <v>0.41</v>
      </c>
    </row>
    <row r="590" spans="2:6" x14ac:dyDescent="0.2">
      <c r="B590" s="4" t="s">
        <v>353</v>
      </c>
      <c r="C590" s="174" t="s">
        <v>306</v>
      </c>
      <c r="D590" s="63" t="s">
        <v>671</v>
      </c>
      <c r="E590" s="82">
        <v>4</v>
      </c>
      <c r="F590" s="40">
        <v>0.5</v>
      </c>
    </row>
    <row r="591" spans="2:6" x14ac:dyDescent="0.2">
      <c r="B591" s="30" t="s">
        <v>353</v>
      </c>
      <c r="C591" s="30" t="s">
        <v>306</v>
      </c>
      <c r="D591" s="30">
        <v>50</v>
      </c>
      <c r="E591" s="101"/>
      <c r="F591" s="99">
        <f>3.1-0.345-1.89-0.04-0.175-0.532-(0.118)+2.73+(0.004)-0.012-0.07-0.138-0.07</f>
        <v>2.4440000000000004</v>
      </c>
    </row>
    <row r="592" spans="2:6" x14ac:dyDescent="0.2">
      <c r="B592" s="30" t="s">
        <v>353</v>
      </c>
      <c r="C592" s="30" t="s">
        <v>306</v>
      </c>
      <c r="D592" s="30">
        <v>60</v>
      </c>
      <c r="E592" s="101"/>
      <c r="F592" s="34">
        <f>2.94-0.238-0.62-0.01-0.112-0.096-0.106-0.104-1.54-0.114+3.36-0.376-0.786-2.198+3.34-0.104-0.03-0.81-0.282-0.108-0.108-0.108-1.34-0.208-0.03-0.004-0.044+4.13-0.172-1.554-0.066-0.002-0.066-0.224-0.45-0.24-0.11-0.106+(0.106)-0.11-0.115-0.11-0.22-0.11-0.12-0.054-0.225-0.11+3.16-0.2-0.2-0.1-1.09-0.104-0.2</f>
        <v>1.5019999999999984</v>
      </c>
    </row>
    <row r="593" spans="2:6" x14ac:dyDescent="0.2">
      <c r="B593" s="30" t="s">
        <v>353</v>
      </c>
      <c r="C593" s="30" t="s">
        <v>306</v>
      </c>
      <c r="D593" s="30">
        <v>70</v>
      </c>
      <c r="E593" s="101"/>
      <c r="F593" s="99">
        <f>1.648-0.448-0.684-0.446+3.51-0.032-0.162-0.316-0.958-1.234-0.16-0.48-0.204+2.77-1.186</f>
        <v>1.6180000000000003</v>
      </c>
    </row>
    <row r="594" spans="2:6" x14ac:dyDescent="0.2">
      <c r="B594" s="30" t="s">
        <v>353</v>
      </c>
      <c r="C594" s="30" t="s">
        <v>306</v>
      </c>
      <c r="D594" s="30">
        <v>80</v>
      </c>
      <c r="E594" s="101"/>
      <c r="F594" s="99">
        <f>3.28+0.824-0.194-0.04-0.182+(0.02)-0.036-0.196-0.198-0.98-0.122-0.374</f>
        <v>1.802</v>
      </c>
    </row>
    <row r="595" spans="2:6" x14ac:dyDescent="0.2">
      <c r="B595" s="30" t="s">
        <v>353</v>
      </c>
      <c r="C595" s="30" t="s">
        <v>306</v>
      </c>
      <c r="D595" s="30">
        <v>90</v>
      </c>
      <c r="E595" s="101"/>
      <c r="F595" s="34">
        <f>3.01-0.26-1.01-0.09</f>
        <v>1.65</v>
      </c>
    </row>
    <row r="596" spans="2:6" x14ac:dyDescent="0.2">
      <c r="B596" s="30" t="s">
        <v>353</v>
      </c>
      <c r="C596" s="30" t="s">
        <v>306</v>
      </c>
      <c r="D596" s="30">
        <v>100</v>
      </c>
      <c r="E596" s="101"/>
      <c r="F596" s="34">
        <f>2.4-1.304-0.16-0.006-0.008+0.312-0.01+2.8-0.24+0.145-0.146+3.51+4.25+3.4+2.865-0.152-0.068-0.046-0.24-1.005-0.24+0.65-0.674-0.384-0.014-1.146-1.844-0.074-0.186-0.96-0.378-0.092-0.484-0.424-0.03-0.08-0.186-0.228-0.234-1.254</f>
        <v>8.0350000000000019</v>
      </c>
    </row>
    <row r="597" spans="2:6" x14ac:dyDescent="0.2">
      <c r="B597" s="30" t="s">
        <v>353</v>
      </c>
      <c r="C597" s="30" t="s">
        <v>306</v>
      </c>
      <c r="D597" s="30">
        <v>110</v>
      </c>
      <c r="E597" s="101"/>
      <c r="F597" s="34">
        <v>2.95</v>
      </c>
    </row>
    <row r="598" spans="2:6" x14ac:dyDescent="0.2">
      <c r="B598" s="30" t="s">
        <v>353</v>
      </c>
      <c r="C598" s="30" t="s">
        <v>306</v>
      </c>
      <c r="D598" s="30">
        <v>120</v>
      </c>
      <c r="E598" s="101"/>
      <c r="F598" s="34">
        <f>1.81-0.196+3.02-1.182-0.194-0.068-0.24</f>
        <v>2.95</v>
      </c>
    </row>
    <row r="599" spans="2:6" x14ac:dyDescent="0.2">
      <c r="B599" s="30" t="s">
        <v>353</v>
      </c>
      <c r="C599" s="30" t="s">
        <v>306</v>
      </c>
      <c r="D599" s="30">
        <v>140</v>
      </c>
      <c r="E599" s="101"/>
      <c r="F599" s="34">
        <v>2.76</v>
      </c>
    </row>
    <row r="600" spans="2:6" x14ac:dyDescent="0.2">
      <c r="B600" s="30" t="s">
        <v>353</v>
      </c>
      <c r="C600" s="30" t="s">
        <v>306</v>
      </c>
      <c r="D600" s="30">
        <v>150</v>
      </c>
      <c r="E600" s="101"/>
      <c r="F600" s="34">
        <f>4.11-0.072-0.092-0.058</f>
        <v>3.8880000000000003</v>
      </c>
    </row>
    <row r="601" spans="2:6" x14ac:dyDescent="0.2">
      <c r="B601" s="30" t="s">
        <v>353</v>
      </c>
      <c r="C601" s="30" t="s">
        <v>306</v>
      </c>
      <c r="D601" s="30">
        <v>170</v>
      </c>
      <c r="E601" s="101"/>
      <c r="F601" s="34">
        <f>2.86-0.03-0.074</f>
        <v>2.7560000000000002</v>
      </c>
    </row>
    <row r="602" spans="2:6" x14ac:dyDescent="0.2">
      <c r="B602" s="30" t="s">
        <v>353</v>
      </c>
      <c r="C602" s="30" t="s">
        <v>306</v>
      </c>
      <c r="D602" s="30">
        <v>180</v>
      </c>
      <c r="E602" s="101"/>
      <c r="F602" s="180" t="s">
        <v>1161</v>
      </c>
    </row>
    <row r="603" spans="2:6" x14ac:dyDescent="0.2">
      <c r="B603" s="30" t="s">
        <v>353</v>
      </c>
      <c r="C603" s="30" t="s">
        <v>306</v>
      </c>
      <c r="D603" s="30">
        <v>200</v>
      </c>
      <c r="E603" s="101"/>
      <c r="F603" s="34">
        <f>2-0.082</f>
        <v>1.9179999999999999</v>
      </c>
    </row>
    <row r="604" spans="2:6" x14ac:dyDescent="0.2">
      <c r="B604" s="30" t="s">
        <v>353</v>
      </c>
      <c r="C604" s="30" t="s">
        <v>306</v>
      </c>
      <c r="D604" s="30">
        <v>210</v>
      </c>
      <c r="E604" s="101"/>
      <c r="F604" s="34">
        <f>2.48-0.84</f>
        <v>1.6400000000000001</v>
      </c>
    </row>
    <row r="605" spans="2:6" x14ac:dyDescent="0.2">
      <c r="B605" s="30" t="s">
        <v>353</v>
      </c>
      <c r="C605" s="30" t="s">
        <v>306</v>
      </c>
      <c r="D605" s="30">
        <v>230</v>
      </c>
      <c r="E605" s="101"/>
      <c r="F605" s="99">
        <f>4.38-0.486-0.328-1.09-1.09-0.106-0.246-0.632-0.402+1.38-0.494-0.112-0.098-0.134+3.42-3.444+4.44-0.168-0.728-0.482-0.372-0.67-0.59-0.036-0.034-0.02-1.038-0.47-0.068+5.56-0.58-0.948-0.158-1.398-1.086-0.286-0.32+0.82+2.04-0.088-0.03-0.382-0.032-0.058-0.16-0.058-0.494-0.1-0.248-0.162-0.318-0.126-0.016-0.142-1.2</f>
        <v>0.31200000000000006</v>
      </c>
    </row>
    <row r="606" spans="2:6" x14ac:dyDescent="0.2">
      <c r="B606" s="30" t="s">
        <v>353</v>
      </c>
      <c r="C606" s="30" t="s">
        <v>306</v>
      </c>
      <c r="D606" s="30">
        <v>250</v>
      </c>
      <c r="E606" s="101"/>
      <c r="F606" s="34">
        <f>3.11-3.11+1.04+2.22-0.322-0.38-0.1-0.656-0.314+3.47-1.135-0.19-0.092-0.9-0.41-0.494-0.38-0.19-0.49-(0.023)-0.096-0.076+3.18-0.194-0.42-0.346-0.85-1.028-0.432+2.25-0.13-0.436-0.042-1.102-0.958+(0.026)+4.54-0.396</f>
        <v>4.144000000000001</v>
      </c>
    </row>
    <row r="607" spans="2:6" x14ac:dyDescent="0.2">
      <c r="B607" s="30" t="s">
        <v>353</v>
      </c>
      <c r="C607" s="30" t="s">
        <v>306</v>
      </c>
      <c r="D607" s="30" t="s">
        <v>405</v>
      </c>
      <c r="E607" s="101"/>
      <c r="F607" s="34">
        <f>(1.018)-0.376</f>
        <v>0.64200000000000002</v>
      </c>
    </row>
    <row r="608" spans="2:6" x14ac:dyDescent="0.2">
      <c r="B608" s="30" t="s">
        <v>353</v>
      </c>
      <c r="C608" s="30" t="s">
        <v>306</v>
      </c>
      <c r="D608" s="30">
        <v>280</v>
      </c>
      <c r="E608" s="101"/>
      <c r="F608" s="34">
        <f>2.69-1.142+1.56-0.098-0.95+2.76</f>
        <v>4.82</v>
      </c>
    </row>
    <row r="609" spans="2:6" x14ac:dyDescent="0.2">
      <c r="B609" s="4" t="s">
        <v>353</v>
      </c>
      <c r="C609" s="176" t="s">
        <v>748</v>
      </c>
      <c r="D609" s="36" t="s">
        <v>387</v>
      </c>
      <c r="E609" s="44">
        <v>2.38</v>
      </c>
      <c r="F609" s="45">
        <v>0.45</v>
      </c>
    </row>
    <row r="610" spans="2:6" x14ac:dyDescent="0.2">
      <c r="B610" s="4" t="s">
        <v>353</v>
      </c>
      <c r="C610" s="176" t="s">
        <v>746</v>
      </c>
      <c r="D610" s="36" t="s">
        <v>387</v>
      </c>
      <c r="E610" s="44" t="s">
        <v>747</v>
      </c>
      <c r="F610" s="45">
        <v>1.05</v>
      </c>
    </row>
    <row r="611" spans="2:6" x14ac:dyDescent="0.2">
      <c r="B611" s="4" t="s">
        <v>353</v>
      </c>
      <c r="C611" s="176" t="s">
        <v>746</v>
      </c>
      <c r="D611" s="36" t="s">
        <v>372</v>
      </c>
      <c r="E611" s="44">
        <v>1.86</v>
      </c>
      <c r="F611" s="45">
        <v>0.7</v>
      </c>
    </row>
    <row r="612" spans="2:6" x14ac:dyDescent="0.2">
      <c r="B612" s="101" t="s">
        <v>353</v>
      </c>
      <c r="C612" s="30" t="s">
        <v>746</v>
      </c>
      <c r="D612" s="101">
        <v>100</v>
      </c>
      <c r="E612" s="25"/>
      <c r="F612" s="99">
        <f>3.68-0.95</f>
        <v>2.7300000000000004</v>
      </c>
    </row>
    <row r="613" spans="2:6" x14ac:dyDescent="0.2">
      <c r="B613" s="101" t="s">
        <v>353</v>
      </c>
      <c r="C613" s="30" t="s">
        <v>746</v>
      </c>
      <c r="D613" s="101" t="s">
        <v>1641</v>
      </c>
      <c r="E613" s="183"/>
      <c r="F613" s="99"/>
    </row>
    <row r="614" spans="2:6" x14ac:dyDescent="0.2">
      <c r="B614" s="101" t="s">
        <v>353</v>
      </c>
      <c r="C614" s="30" t="s">
        <v>746</v>
      </c>
      <c r="D614" s="101" t="s">
        <v>2456</v>
      </c>
      <c r="E614" s="25"/>
      <c r="F614" s="99">
        <v>0.83</v>
      </c>
    </row>
    <row r="615" spans="2:6" x14ac:dyDescent="0.2">
      <c r="B615" s="101" t="s">
        <v>353</v>
      </c>
      <c r="C615" s="30" t="s">
        <v>746</v>
      </c>
      <c r="D615" s="101" t="s">
        <v>2456</v>
      </c>
      <c r="E615" s="25"/>
      <c r="F615" s="99">
        <v>0.83</v>
      </c>
    </row>
    <row r="616" spans="2:6" x14ac:dyDescent="0.2">
      <c r="B616" s="101" t="s">
        <v>353</v>
      </c>
      <c r="C616" s="30" t="s">
        <v>746</v>
      </c>
      <c r="D616" s="101" t="s">
        <v>2456</v>
      </c>
      <c r="E616" s="25"/>
      <c r="F616" s="99">
        <v>0.83</v>
      </c>
    </row>
    <row r="617" spans="2:6" x14ac:dyDescent="0.2">
      <c r="B617" s="101" t="s">
        <v>353</v>
      </c>
      <c r="C617" s="30" t="s">
        <v>746</v>
      </c>
      <c r="D617" s="101" t="s">
        <v>1710</v>
      </c>
      <c r="E617" s="183"/>
      <c r="F617" s="99"/>
    </row>
    <row r="618" spans="2:6" x14ac:dyDescent="0.2">
      <c r="B618" s="101" t="s">
        <v>353</v>
      </c>
      <c r="C618" s="30" t="s">
        <v>746</v>
      </c>
      <c r="D618" s="101" t="s">
        <v>1724</v>
      </c>
      <c r="E618" s="25"/>
      <c r="F618" s="99"/>
    </row>
    <row r="619" spans="2:6" x14ac:dyDescent="0.2">
      <c r="B619" s="30" t="s">
        <v>353</v>
      </c>
      <c r="C619" s="30" t="s">
        <v>418</v>
      </c>
      <c r="D619" s="30">
        <v>30</v>
      </c>
      <c r="E619" s="101"/>
      <c r="F619" s="34">
        <f>3-0.03-0.25-0.142</f>
        <v>2.5780000000000003</v>
      </c>
    </row>
    <row r="620" spans="2:6" x14ac:dyDescent="0.2">
      <c r="B620" s="30" t="s">
        <v>353</v>
      </c>
      <c r="C620" s="30" t="s">
        <v>418</v>
      </c>
      <c r="D620" s="30">
        <v>40</v>
      </c>
      <c r="E620" s="101"/>
      <c r="F620" s="34">
        <f>2.07-0.05-0.05-0.05-0.156-0.2-0.35-0.298-0.3-0.15-0.05-0.014-0.24+3.56-0.05-0.05-0.15-0.144-0.05-0.1-0.05-0.05-0.05-0.486-0.048-0.1-0.1-0.052-0.04-0.84-0.234-0.046</f>
        <v>1.0820000000000005</v>
      </c>
    </row>
    <row r="621" spans="2:6" x14ac:dyDescent="0.2">
      <c r="B621" s="30" t="s">
        <v>353</v>
      </c>
      <c r="C621" s="30" t="s">
        <v>418</v>
      </c>
      <c r="D621" s="30">
        <v>50</v>
      </c>
      <c r="E621" s="101"/>
      <c r="F621" s="34">
        <f>3.23-0.058-0.284-1-0.348-0.056-0.35-0.102-0.01-0.07-0.074-0.178</f>
        <v>0.70000000000000018</v>
      </c>
    </row>
    <row r="622" spans="2:6" x14ac:dyDescent="0.2">
      <c r="B622" s="30" t="s">
        <v>353</v>
      </c>
      <c r="C622" s="30" t="s">
        <v>418</v>
      </c>
      <c r="D622" s="30">
        <v>60</v>
      </c>
      <c r="E622" s="101"/>
      <c r="F622" s="180" t="s">
        <v>1161</v>
      </c>
    </row>
    <row r="623" spans="2:6" x14ac:dyDescent="0.2">
      <c r="B623" s="30" t="s">
        <v>353</v>
      </c>
      <c r="C623" s="30" t="s">
        <v>418</v>
      </c>
      <c r="D623" s="30">
        <v>70</v>
      </c>
      <c r="E623" s="101"/>
      <c r="F623" s="34">
        <f>3.3-0.336-0.17-0.174-0.17-0.494-0.96-0.25-0.338-0.158+1.28+1.84-0.336-0.03-0.316</f>
        <v>2.6880000000000006</v>
      </c>
    </row>
    <row r="624" spans="2:6" x14ac:dyDescent="0.2">
      <c r="B624" s="30" t="s">
        <v>353</v>
      </c>
      <c r="C624" s="30" t="s">
        <v>418</v>
      </c>
      <c r="D624" s="30">
        <v>80</v>
      </c>
      <c r="E624" s="101"/>
      <c r="F624" s="34">
        <f>2.99-0.186-0.168-0.645-0.174-0.842</f>
        <v>0.9750000000000002</v>
      </c>
    </row>
    <row r="625" spans="2:6" x14ac:dyDescent="0.2">
      <c r="B625" s="30" t="s">
        <v>353</v>
      </c>
      <c r="C625" s="30" t="s">
        <v>418</v>
      </c>
      <c r="D625" s="30">
        <v>90</v>
      </c>
      <c r="E625" s="101"/>
      <c r="F625" s="99">
        <f>3.2-0.1-0.435-0.65-0.205-0.05-1.76+3.82-0.018-0.554-0.504-0.254-0.246-0.27-0.254-0.236-0.224-0.2-0.24-0.238</f>
        <v>0.58200000000000029</v>
      </c>
    </row>
    <row r="626" spans="2:6" x14ac:dyDescent="0.2">
      <c r="B626" s="30" t="s">
        <v>353</v>
      </c>
      <c r="C626" s="30" t="s">
        <v>418</v>
      </c>
      <c r="D626" s="30">
        <v>100</v>
      </c>
      <c r="E626" s="101"/>
      <c r="F626" s="34">
        <f>3.08-0.324-0.008-0.63-0.308</f>
        <v>1.8100000000000003</v>
      </c>
    </row>
    <row r="627" spans="2:6" x14ac:dyDescent="0.2">
      <c r="B627" s="30" t="s">
        <v>353</v>
      </c>
      <c r="C627" s="30" t="s">
        <v>418</v>
      </c>
      <c r="D627" s="30">
        <v>110</v>
      </c>
      <c r="E627" s="101"/>
      <c r="F627" s="34">
        <f>3.22-0.112-0.224-0.512-0.082-0.024-0.31-0.048-0.044-0.308-0.148-0.168-0.196-0.45-0.095-0.05+3.73-0.142-0.146-0.494-0.97-0.225-0.182-0.15-0.092-0.335-0.102-0.433-(0.144)-0.076-0.435-0.102-0.142-(0.009)+2.95-0.15-0.016-0.296-0.114-0.16-0.27-0.588-0.228-0.282-0.068</f>
        <v>0.77800000000000069</v>
      </c>
    </row>
    <row r="628" spans="2:6" x14ac:dyDescent="0.2">
      <c r="B628" s="30" t="s">
        <v>353</v>
      </c>
      <c r="C628" s="30" t="s">
        <v>418</v>
      </c>
      <c r="D628" s="30">
        <v>120</v>
      </c>
      <c r="E628" s="101"/>
      <c r="F628" s="34">
        <f>3.21-0.292-2.894-(0.024)+3.44-0.108-1.96-0.134-0.178+3.65-0.372-0.122-0.304</f>
        <v>3.9120000000000004</v>
      </c>
    </row>
    <row r="629" spans="2:6" x14ac:dyDescent="0.2">
      <c r="B629" s="101" t="s">
        <v>353</v>
      </c>
      <c r="C629" s="30" t="s">
        <v>1597</v>
      </c>
      <c r="D629" s="101">
        <v>100</v>
      </c>
      <c r="E629" s="25"/>
      <c r="F629" s="99">
        <v>0.5</v>
      </c>
    </row>
    <row r="630" spans="2:6" x14ac:dyDescent="0.2">
      <c r="B630" s="101" t="s">
        <v>353</v>
      </c>
      <c r="C630" s="30" t="s">
        <v>1756</v>
      </c>
      <c r="D630" s="101" t="s">
        <v>1757</v>
      </c>
      <c r="E630" s="183"/>
      <c r="F630" s="99"/>
    </row>
    <row r="631" spans="2:6" x14ac:dyDescent="0.2">
      <c r="B631" s="101" t="s">
        <v>353</v>
      </c>
      <c r="C631" s="30" t="s">
        <v>689</v>
      </c>
      <c r="D631" s="101">
        <v>80</v>
      </c>
      <c r="E631" s="25"/>
      <c r="F631" s="99">
        <f>0.62-0.48</f>
        <v>0.14000000000000001</v>
      </c>
    </row>
    <row r="632" spans="2:6" x14ac:dyDescent="0.2">
      <c r="B632" s="101" t="s">
        <v>353</v>
      </c>
      <c r="C632" s="30" t="s">
        <v>1629</v>
      </c>
      <c r="D632" s="101" t="s">
        <v>1630</v>
      </c>
      <c r="E632" s="183"/>
      <c r="F632" s="99"/>
    </row>
    <row r="633" spans="2:6" x14ac:dyDescent="0.2">
      <c r="B633" s="30" t="s">
        <v>353</v>
      </c>
      <c r="C633" s="30" t="s">
        <v>301</v>
      </c>
      <c r="D633" s="30">
        <v>30</v>
      </c>
      <c r="E633" s="101"/>
      <c r="F633" s="99">
        <f>1.788+2.472-3.012-1.248+1.44+2.76+2.256+2.07+(1.248)-0.028-0.47-2.76-2.256-2.07</f>
        <v>2.1899999999999982</v>
      </c>
    </row>
    <row r="634" spans="2:6" x14ac:dyDescent="0.2">
      <c r="B634" s="30" t="s">
        <v>353</v>
      </c>
      <c r="C634" s="30" t="s">
        <v>301</v>
      </c>
      <c r="D634" s="30">
        <v>32</v>
      </c>
      <c r="E634" s="101"/>
      <c r="F634" s="99">
        <f>3.7-0.778</f>
        <v>2.9220000000000002</v>
      </c>
    </row>
    <row r="635" spans="2:6" x14ac:dyDescent="0.2">
      <c r="B635" s="101" t="s">
        <v>353</v>
      </c>
      <c r="C635" s="30" t="s">
        <v>301</v>
      </c>
      <c r="D635" s="101">
        <v>85</v>
      </c>
      <c r="E635" s="25"/>
      <c r="F635" s="99">
        <f>5.22-0.58-0.135-0.17-0.14-0.08-0.31-0.185-1.44-0.14-0.04</f>
        <v>2</v>
      </c>
    </row>
    <row r="636" spans="2:6" x14ac:dyDescent="0.2">
      <c r="B636" s="101" t="s">
        <v>353</v>
      </c>
      <c r="C636" s="30" t="s">
        <v>1605</v>
      </c>
      <c r="D636" s="101">
        <v>120</v>
      </c>
      <c r="E636" s="25"/>
      <c r="F636" s="99">
        <f>16.26-0.2-1.84-1.87-0.3-0.3-0.305</f>
        <v>11.445</v>
      </c>
    </row>
    <row r="637" spans="2:6" x14ac:dyDescent="0.2">
      <c r="B637" s="101" t="s">
        <v>353</v>
      </c>
      <c r="C637" s="30" t="s">
        <v>1571</v>
      </c>
      <c r="D637" s="101">
        <v>60</v>
      </c>
      <c r="E637" s="183"/>
      <c r="F637" s="99">
        <v>7.0000000000000007E-2</v>
      </c>
    </row>
    <row r="638" spans="2:6" x14ac:dyDescent="0.2">
      <c r="B638" s="101" t="s">
        <v>353</v>
      </c>
      <c r="C638" s="30" t="s">
        <v>404</v>
      </c>
      <c r="D638" s="101" t="s">
        <v>1646</v>
      </c>
      <c r="E638" s="183"/>
      <c r="F638" s="99">
        <v>0.77</v>
      </c>
    </row>
    <row r="639" spans="2:6" x14ac:dyDescent="0.2">
      <c r="B639" s="101" t="s">
        <v>353</v>
      </c>
      <c r="C639" s="30" t="s">
        <v>404</v>
      </c>
      <c r="D639" s="101" t="s">
        <v>1704</v>
      </c>
      <c r="E639" s="183"/>
      <c r="F639" s="99">
        <v>0.62</v>
      </c>
    </row>
    <row r="640" spans="2:6" x14ac:dyDescent="0.2">
      <c r="B640" s="101" t="s">
        <v>353</v>
      </c>
      <c r="C640" s="30" t="s">
        <v>404</v>
      </c>
      <c r="D640" s="101" t="s">
        <v>1704</v>
      </c>
      <c r="E640" s="183"/>
      <c r="F640" s="99">
        <v>1.49</v>
      </c>
    </row>
    <row r="641" spans="2:6" x14ac:dyDescent="0.2">
      <c r="B641" s="101" t="s">
        <v>353</v>
      </c>
      <c r="C641" s="30" t="s">
        <v>404</v>
      </c>
      <c r="D641" s="101" t="s">
        <v>1709</v>
      </c>
      <c r="E641" s="183"/>
      <c r="F641" s="99"/>
    </row>
    <row r="642" spans="2:6" x14ac:dyDescent="0.2">
      <c r="B642" s="101" t="s">
        <v>353</v>
      </c>
      <c r="C642" s="30" t="s">
        <v>404</v>
      </c>
      <c r="D642" s="101">
        <v>320</v>
      </c>
      <c r="E642" s="183"/>
      <c r="F642" s="99">
        <v>1.1599999999999999</v>
      </c>
    </row>
    <row r="643" spans="2:6" x14ac:dyDescent="0.2">
      <c r="B643" s="101" t="s">
        <v>353</v>
      </c>
      <c r="C643" s="30" t="s">
        <v>404</v>
      </c>
      <c r="D643" s="101" t="s">
        <v>1723</v>
      </c>
      <c r="E643" s="183"/>
      <c r="F643" s="99">
        <v>0.77</v>
      </c>
    </row>
    <row r="644" spans="2:6" x14ac:dyDescent="0.2">
      <c r="B644" s="101" t="s">
        <v>353</v>
      </c>
      <c r="C644" s="30" t="s">
        <v>404</v>
      </c>
      <c r="D644" s="101" t="s">
        <v>1702</v>
      </c>
      <c r="E644" s="183"/>
      <c r="F644" s="99">
        <v>0.62</v>
      </c>
    </row>
    <row r="645" spans="2:6" x14ac:dyDescent="0.2">
      <c r="B645" s="101" t="s">
        <v>353</v>
      </c>
      <c r="C645" s="30" t="s">
        <v>404</v>
      </c>
      <c r="D645" s="101" t="s">
        <v>1702</v>
      </c>
      <c r="E645" s="183"/>
      <c r="F645" s="99">
        <v>1.49</v>
      </c>
    </row>
    <row r="646" spans="2:6" x14ac:dyDescent="0.2">
      <c r="B646" s="101" t="s">
        <v>353</v>
      </c>
      <c r="C646" s="30" t="s">
        <v>404</v>
      </c>
      <c r="D646" s="101" t="s">
        <v>1750</v>
      </c>
      <c r="E646" s="183"/>
      <c r="F646" s="99">
        <v>1.53</v>
      </c>
    </row>
    <row r="647" spans="2:6" x14ac:dyDescent="0.2">
      <c r="B647" s="30" t="s">
        <v>353</v>
      </c>
      <c r="C647" s="30" t="s">
        <v>310</v>
      </c>
      <c r="D647" s="30">
        <v>170</v>
      </c>
      <c r="E647" s="101"/>
      <c r="F647" s="99">
        <f>2.11-1.12-0.274-0.392-0.104</f>
        <v>0.21999999999999975</v>
      </c>
    </row>
    <row r="648" spans="2:6" x14ac:dyDescent="0.2">
      <c r="B648" s="30" t="s">
        <v>353</v>
      </c>
      <c r="C648" s="30" t="s">
        <v>310</v>
      </c>
      <c r="D648" s="30">
        <v>220</v>
      </c>
      <c r="E648" s="101"/>
      <c r="F648" s="99">
        <f>0.216+0.278-0.216-0.138</f>
        <v>0.14000000000000001</v>
      </c>
    </row>
    <row r="649" spans="2:6" x14ac:dyDescent="0.2">
      <c r="B649" s="101" t="s">
        <v>353</v>
      </c>
      <c r="C649" s="30" t="s">
        <v>310</v>
      </c>
      <c r="D649" s="101">
        <v>210</v>
      </c>
      <c r="E649" s="25"/>
      <c r="F649" s="99">
        <v>0.49</v>
      </c>
    </row>
    <row r="650" spans="2:6" x14ac:dyDescent="0.2">
      <c r="B650" s="101" t="s">
        <v>353</v>
      </c>
      <c r="C650" s="30" t="s">
        <v>310</v>
      </c>
      <c r="D650" s="101" t="s">
        <v>1650</v>
      </c>
      <c r="E650" s="25"/>
      <c r="F650" s="99">
        <v>0.99</v>
      </c>
    </row>
    <row r="651" spans="2:6" x14ac:dyDescent="0.2">
      <c r="B651" s="101" t="s">
        <v>353</v>
      </c>
      <c r="C651" s="30" t="s">
        <v>310</v>
      </c>
      <c r="D651" s="101" t="s">
        <v>1651</v>
      </c>
      <c r="E651" s="25"/>
      <c r="F651" s="99"/>
    </row>
    <row r="652" spans="2:6" x14ac:dyDescent="0.2">
      <c r="B652" s="101" t="s">
        <v>353</v>
      </c>
      <c r="C652" s="30" t="s">
        <v>1665</v>
      </c>
      <c r="D652" s="101" t="s">
        <v>2461</v>
      </c>
      <c r="E652" s="183"/>
      <c r="F652" s="99">
        <v>0.28999999999999998</v>
      </c>
    </row>
    <row r="653" spans="2:6" x14ac:dyDescent="0.2">
      <c r="B653" s="101" t="s">
        <v>353</v>
      </c>
      <c r="C653" s="30" t="s">
        <v>1665</v>
      </c>
      <c r="D653" s="101" t="s">
        <v>2463</v>
      </c>
      <c r="E653" s="183"/>
      <c r="F653" s="99">
        <v>0.1</v>
      </c>
    </row>
    <row r="654" spans="2:6" x14ac:dyDescent="0.2">
      <c r="B654" s="101" t="s">
        <v>353</v>
      </c>
      <c r="C654" s="30" t="s">
        <v>1665</v>
      </c>
      <c r="D654" s="101" t="s">
        <v>1672</v>
      </c>
      <c r="E654" s="25"/>
      <c r="F654" s="99">
        <v>0.23</v>
      </c>
    </row>
    <row r="655" spans="2:6" x14ac:dyDescent="0.2">
      <c r="B655" s="101" t="s">
        <v>353</v>
      </c>
      <c r="C655" s="30" t="s">
        <v>1665</v>
      </c>
      <c r="D655" s="101">
        <v>270</v>
      </c>
      <c r="E655" s="25"/>
      <c r="F655" s="99">
        <v>0.19</v>
      </c>
    </row>
    <row r="656" spans="2:6" x14ac:dyDescent="0.2">
      <c r="B656" s="101" t="s">
        <v>353</v>
      </c>
      <c r="C656" s="30" t="s">
        <v>310</v>
      </c>
      <c r="D656" s="101" t="s">
        <v>1692</v>
      </c>
      <c r="E656" s="183"/>
      <c r="F656" s="99">
        <v>0.20499999999999999</v>
      </c>
    </row>
    <row r="657" spans="2:6" x14ac:dyDescent="0.2">
      <c r="B657" s="101" t="s">
        <v>353</v>
      </c>
      <c r="C657" s="30" t="s">
        <v>310</v>
      </c>
      <c r="D657" s="101" t="s">
        <v>1693</v>
      </c>
      <c r="E657" s="183"/>
      <c r="F657" s="99">
        <v>0.28000000000000003</v>
      </c>
    </row>
    <row r="658" spans="2:6" x14ac:dyDescent="0.2">
      <c r="B658" s="101" t="s">
        <v>353</v>
      </c>
      <c r="C658" s="30" t="s">
        <v>310</v>
      </c>
      <c r="D658" s="101">
        <v>310</v>
      </c>
      <c r="E658" s="183"/>
      <c r="F658" s="99">
        <v>0.05</v>
      </c>
    </row>
    <row r="659" spans="2:6" x14ac:dyDescent="0.2">
      <c r="B659" s="4" t="s">
        <v>353</v>
      </c>
      <c r="C659" s="173" t="s">
        <v>690</v>
      </c>
      <c r="D659" s="37" t="s">
        <v>656</v>
      </c>
      <c r="E659" s="5" t="s">
        <v>168</v>
      </c>
      <c r="F659" s="39">
        <v>0.1</v>
      </c>
    </row>
    <row r="660" spans="2:6" x14ac:dyDescent="0.2">
      <c r="B660" s="4" t="s">
        <v>353</v>
      </c>
      <c r="C660" s="174" t="s">
        <v>690</v>
      </c>
      <c r="D660" s="63" t="s">
        <v>669</v>
      </c>
      <c r="E660" s="5">
        <v>3.38</v>
      </c>
      <c r="F660" s="39">
        <v>0.33</v>
      </c>
    </row>
    <row r="661" spans="2:6" x14ac:dyDescent="0.2">
      <c r="B661" s="4" t="s">
        <v>353</v>
      </c>
      <c r="C661" s="174" t="s">
        <v>690</v>
      </c>
      <c r="D661" s="64" t="s">
        <v>676</v>
      </c>
      <c r="E661" s="42">
        <v>1.66</v>
      </c>
      <c r="F661" s="43">
        <v>0.4</v>
      </c>
    </row>
    <row r="662" spans="2:6" x14ac:dyDescent="0.2">
      <c r="B662" s="101" t="s">
        <v>353</v>
      </c>
      <c r="C662" s="30" t="s">
        <v>690</v>
      </c>
      <c r="D662" s="101">
        <v>70</v>
      </c>
      <c r="E662" s="183"/>
      <c r="F662" s="99">
        <f>4.94-0.17-0.35-0.16-0.4-0.54</f>
        <v>3.3200000000000007</v>
      </c>
    </row>
    <row r="663" spans="2:6" x14ac:dyDescent="0.2">
      <c r="B663" s="101" t="s">
        <v>353</v>
      </c>
      <c r="C663" s="30" t="s">
        <v>690</v>
      </c>
      <c r="D663" s="101">
        <v>140</v>
      </c>
      <c r="E663" s="183"/>
      <c r="F663" s="99">
        <v>0.28499999999999998</v>
      </c>
    </row>
    <row r="664" spans="2:6" x14ac:dyDescent="0.2">
      <c r="B664" s="101" t="s">
        <v>353</v>
      </c>
      <c r="C664" s="30" t="s">
        <v>690</v>
      </c>
      <c r="D664" s="101">
        <v>180</v>
      </c>
      <c r="E664" s="183"/>
      <c r="F664" s="99">
        <f>19.52-0.76-1.53-0.9-0.9-0.85-0.84-0.91-0.76-0.76-0.4-0.89-0.48</f>
        <v>9.5399999999999974</v>
      </c>
    </row>
    <row r="665" spans="2:6" x14ac:dyDescent="0.2">
      <c r="B665" s="101" t="s">
        <v>353</v>
      </c>
      <c r="C665" s="30" t="s">
        <v>1564</v>
      </c>
      <c r="D665" s="101">
        <v>56</v>
      </c>
      <c r="E665" s="25"/>
      <c r="F665" s="99">
        <v>1.23</v>
      </c>
    </row>
    <row r="666" spans="2:6" x14ac:dyDescent="0.2">
      <c r="B666" s="101" t="s">
        <v>353</v>
      </c>
      <c r="C666" s="30" t="s">
        <v>1564</v>
      </c>
      <c r="D666" s="101">
        <v>60</v>
      </c>
      <c r="E666" s="25"/>
      <c r="F666" s="99">
        <f>0.46-0.17-0.055-0.06</f>
        <v>0.17500000000000004</v>
      </c>
    </row>
    <row r="667" spans="2:6" x14ac:dyDescent="0.2">
      <c r="B667" s="101" t="s">
        <v>353</v>
      </c>
      <c r="C667" s="30" t="s">
        <v>1585</v>
      </c>
      <c r="D667" s="101">
        <v>85</v>
      </c>
      <c r="E667" s="183"/>
      <c r="F667" s="99">
        <f>5.87-0.53-1.06-0.115-0.27-0.27-0.49-0.27-0.05</f>
        <v>2.8149999999999991</v>
      </c>
    </row>
    <row r="668" spans="2:6" x14ac:dyDescent="0.2">
      <c r="B668" s="101" t="s">
        <v>353</v>
      </c>
      <c r="C668" s="30" t="s">
        <v>1457</v>
      </c>
      <c r="D668" s="101">
        <v>100</v>
      </c>
      <c r="E668" s="183"/>
      <c r="F668" s="99">
        <v>2.58</v>
      </c>
    </row>
    <row r="669" spans="2:6" x14ac:dyDescent="0.2">
      <c r="B669" s="101" t="s">
        <v>353</v>
      </c>
      <c r="C669" s="30" t="s">
        <v>1457</v>
      </c>
      <c r="D669" s="101">
        <v>120</v>
      </c>
      <c r="E669" s="183"/>
      <c r="F669" s="99">
        <f>12.92-0.53-0.535-0.71-0.54-0.53-0.54-0.09</f>
        <v>9.4450000000000003</v>
      </c>
    </row>
    <row r="670" spans="2:6" x14ac:dyDescent="0.2">
      <c r="B670" s="101" t="s">
        <v>353</v>
      </c>
      <c r="C670" s="30" t="s">
        <v>1457</v>
      </c>
      <c r="D670" s="101">
        <v>120</v>
      </c>
      <c r="E670" s="183"/>
      <c r="F670" s="99">
        <f>5.02-0.8-1.01-1.06-0.41-0.53</f>
        <v>1.21</v>
      </c>
    </row>
    <row r="671" spans="2:6" x14ac:dyDescent="0.2">
      <c r="B671" s="36" t="s">
        <v>353</v>
      </c>
      <c r="C671" s="94" t="s">
        <v>804</v>
      </c>
      <c r="D671" s="62">
        <v>45</v>
      </c>
      <c r="E671" s="70" t="s">
        <v>805</v>
      </c>
      <c r="F671" s="70">
        <v>0.71</v>
      </c>
    </row>
    <row r="672" spans="2:6" x14ac:dyDescent="0.2">
      <c r="B672" s="101" t="s">
        <v>353</v>
      </c>
      <c r="C672" s="30" t="s">
        <v>804</v>
      </c>
      <c r="D672" s="101">
        <v>45</v>
      </c>
      <c r="E672" s="25"/>
      <c r="F672" s="99">
        <f>0.27-0.04</f>
        <v>0.23</v>
      </c>
    </row>
    <row r="673" spans="2:6" x14ac:dyDescent="0.2">
      <c r="B673" s="101" t="s">
        <v>353</v>
      </c>
      <c r="C673" s="30" t="s">
        <v>804</v>
      </c>
      <c r="D673" s="101">
        <v>50</v>
      </c>
      <c r="E673" s="25"/>
      <c r="F673" s="99">
        <f>0.24-0.05</f>
        <v>0.19</v>
      </c>
    </row>
    <row r="674" spans="2:6" x14ac:dyDescent="0.2">
      <c r="B674" s="101" t="s">
        <v>353</v>
      </c>
      <c r="C674" s="30" t="s">
        <v>804</v>
      </c>
      <c r="D674" s="101">
        <v>60</v>
      </c>
      <c r="E674" s="25"/>
      <c r="F674" s="99">
        <v>0.75</v>
      </c>
    </row>
    <row r="675" spans="2:6" x14ac:dyDescent="0.2">
      <c r="B675" s="101" t="s">
        <v>353</v>
      </c>
      <c r="C675" s="30" t="s">
        <v>804</v>
      </c>
      <c r="D675" s="101">
        <v>62</v>
      </c>
      <c r="E675" s="25"/>
      <c r="F675" s="99">
        <f>0.132-0.045</f>
        <v>8.7000000000000008E-2</v>
      </c>
    </row>
    <row r="676" spans="2:6" x14ac:dyDescent="0.2">
      <c r="B676" s="30" t="s">
        <v>353</v>
      </c>
      <c r="C676" s="30" t="s">
        <v>357</v>
      </c>
      <c r="D676" s="30">
        <v>60</v>
      </c>
      <c r="E676" s="101">
        <v>2.6</v>
      </c>
      <c r="F676" s="99">
        <v>0.06</v>
      </c>
    </row>
    <row r="677" spans="2:6" x14ac:dyDescent="0.2">
      <c r="B677" s="101" t="s">
        <v>353</v>
      </c>
      <c r="C677" s="30" t="s">
        <v>1559</v>
      </c>
      <c r="D677" s="101">
        <v>45</v>
      </c>
      <c r="E677" s="25"/>
      <c r="F677" s="99">
        <v>0.22</v>
      </c>
    </row>
    <row r="678" spans="2:6" x14ac:dyDescent="0.2">
      <c r="B678" s="101" t="s">
        <v>353</v>
      </c>
      <c r="C678" s="30" t="s">
        <v>1559</v>
      </c>
      <c r="D678" s="101">
        <v>70</v>
      </c>
      <c r="E678" s="25"/>
      <c r="F678" s="99">
        <v>0.49</v>
      </c>
    </row>
    <row r="679" spans="2:6" x14ac:dyDescent="0.2">
      <c r="B679" s="101" t="s">
        <v>353</v>
      </c>
      <c r="C679" s="30" t="s">
        <v>1559</v>
      </c>
      <c r="D679" s="101">
        <v>100</v>
      </c>
      <c r="E679" s="25"/>
      <c r="F679" s="99">
        <v>0.20499999999999999</v>
      </c>
    </row>
    <row r="680" spans="2:6" x14ac:dyDescent="0.2">
      <c r="B680" s="30" t="s">
        <v>353</v>
      </c>
      <c r="C680" s="30" t="s">
        <v>358</v>
      </c>
      <c r="D680" s="30">
        <v>105</v>
      </c>
      <c r="E680" s="101">
        <v>3.82</v>
      </c>
      <c r="F680" s="99">
        <v>0.26800000000000002</v>
      </c>
    </row>
    <row r="681" spans="2:6" x14ac:dyDescent="0.2">
      <c r="B681" s="4" t="s">
        <v>353</v>
      </c>
      <c r="C681" s="174" t="s">
        <v>305</v>
      </c>
      <c r="D681" s="63" t="s">
        <v>677</v>
      </c>
      <c r="E681" s="82">
        <v>2.8</v>
      </c>
      <c r="F681" s="40">
        <v>0.78</v>
      </c>
    </row>
    <row r="682" spans="2:6" x14ac:dyDescent="0.2">
      <c r="B682" s="4" t="s">
        <v>353</v>
      </c>
      <c r="C682" s="177" t="s">
        <v>217</v>
      </c>
      <c r="D682" s="37" t="s">
        <v>656</v>
      </c>
      <c r="E682" s="5" t="s">
        <v>27</v>
      </c>
      <c r="F682" s="39">
        <v>3.8</v>
      </c>
    </row>
    <row r="683" spans="2:6" x14ac:dyDescent="0.2">
      <c r="B683" s="4" t="s">
        <v>353</v>
      </c>
      <c r="C683" s="174" t="s">
        <v>217</v>
      </c>
      <c r="D683" s="37" t="s">
        <v>660</v>
      </c>
      <c r="E683" s="5" t="s">
        <v>295</v>
      </c>
      <c r="F683" s="39">
        <v>2.64</v>
      </c>
    </row>
    <row r="684" spans="2:6" x14ac:dyDescent="0.2">
      <c r="B684" s="4" t="s">
        <v>353</v>
      </c>
      <c r="C684" s="174" t="s">
        <v>217</v>
      </c>
      <c r="D684" s="63" t="s">
        <v>679</v>
      </c>
      <c r="E684" s="2" t="s">
        <v>176</v>
      </c>
      <c r="F684" s="39">
        <v>0.37</v>
      </c>
    </row>
    <row r="685" spans="2:6" x14ac:dyDescent="0.2">
      <c r="B685" s="4" t="s">
        <v>353</v>
      </c>
      <c r="C685" s="174" t="s">
        <v>217</v>
      </c>
      <c r="D685" s="64" t="s">
        <v>681</v>
      </c>
      <c r="E685" s="4" t="s">
        <v>28</v>
      </c>
      <c r="F685" s="39">
        <v>0.77</v>
      </c>
    </row>
    <row r="686" spans="2:6" x14ac:dyDescent="0.2">
      <c r="B686" s="4" t="s">
        <v>353</v>
      </c>
      <c r="C686" s="174" t="s">
        <v>217</v>
      </c>
      <c r="D686" s="64" t="s">
        <v>681</v>
      </c>
      <c r="E686" s="4" t="s">
        <v>28</v>
      </c>
      <c r="F686" s="39">
        <v>0.93</v>
      </c>
    </row>
    <row r="687" spans="2:6" x14ac:dyDescent="0.2">
      <c r="B687" s="4" t="s">
        <v>353</v>
      </c>
      <c r="C687" s="174" t="s">
        <v>217</v>
      </c>
      <c r="D687" s="64" t="s">
        <v>681</v>
      </c>
      <c r="E687" s="2" t="s">
        <v>638</v>
      </c>
      <c r="F687" s="39">
        <v>4.3150000000000004</v>
      </c>
    </row>
    <row r="688" spans="2:6" x14ac:dyDescent="0.2">
      <c r="B688" s="4" t="s">
        <v>353</v>
      </c>
      <c r="C688" s="174" t="s">
        <v>217</v>
      </c>
      <c r="D688" s="63" t="s">
        <v>361</v>
      </c>
      <c r="E688" s="82">
        <v>0.62</v>
      </c>
      <c r="F688" s="40">
        <v>0.37</v>
      </c>
    </row>
    <row r="689" spans="2:6" x14ac:dyDescent="0.2">
      <c r="B689" s="4" t="s">
        <v>353</v>
      </c>
      <c r="C689" s="174" t="s">
        <v>217</v>
      </c>
      <c r="D689" s="64" t="s">
        <v>682</v>
      </c>
      <c r="E689" s="2" t="s">
        <v>177</v>
      </c>
      <c r="F689" s="40">
        <v>8</v>
      </c>
    </row>
    <row r="690" spans="2:6" x14ac:dyDescent="0.2">
      <c r="B690" s="78" t="s">
        <v>353</v>
      </c>
      <c r="C690" s="174" t="s">
        <v>217</v>
      </c>
      <c r="D690" s="2" t="s">
        <v>124</v>
      </c>
      <c r="E690" s="4"/>
      <c r="F690" s="39">
        <v>0.155</v>
      </c>
    </row>
    <row r="691" spans="2:6" x14ac:dyDescent="0.2">
      <c r="B691" s="30" t="s">
        <v>353</v>
      </c>
      <c r="C691" s="30" t="s">
        <v>217</v>
      </c>
      <c r="D691" s="30">
        <v>20</v>
      </c>
      <c r="E691" s="101"/>
      <c r="F691" s="99">
        <f>0.855+1.278+0.744-0.01-0.025-0.2-0.005-0.015-0.015-0.024-0.025-0.095-0.025-0.025-0.008-0.024-0.004-0.026-0.012-0.016-0.012-0.05-0.012-0.024-0.024-0.036-0.01-0.076-0.014-0.014</f>
        <v>2.0510000000000006</v>
      </c>
    </row>
    <row r="692" spans="2:6" x14ac:dyDescent="0.2">
      <c r="B692" s="30" t="s">
        <v>353</v>
      </c>
      <c r="C692" s="30" t="s">
        <v>217</v>
      </c>
      <c r="D692" s="30">
        <v>25</v>
      </c>
      <c r="E692" s="101"/>
      <c r="F692" s="99">
        <f>3.31+0.97+0.02-0.104-0.078-0.014-0.042-0.208-0.022-0.042-0.022-0.004-0.42-0.3-0.064-0.014-0.064+0.128-0.08-0.008-0.004-0.066-0.022-0.17-0.214-0.078-0.022-0.236-0.066-0.022-0.004-0.064-0.064+(0.064)-0.018-0.044-0.024-0.042-0.02-0.084-0.022-0.026-0.022-0.026-0.01-0.022-0.022-0.022-0.028-0.004-0.02-0.016-0.086-0.004-0.022-0.022-0.02-0.045-0.09-0.02-0.31-0.05-0.013-0.045-0.045-0.102-0.086-0.064-0.022-0.062-0.058-0.15</f>
        <v>0.18600000000000036</v>
      </c>
    </row>
    <row r="693" spans="2:6" x14ac:dyDescent="0.2">
      <c r="B693" s="30" t="s">
        <v>353</v>
      </c>
      <c r="C693" s="30" t="s">
        <v>217</v>
      </c>
      <c r="D693" s="30">
        <v>28</v>
      </c>
      <c r="E693" s="101"/>
      <c r="F693" s="99">
        <f>3.29-0.012-0.012-0.014+0.086+0.28-0.046+0.208-0.208-0.054-0.006-0.016-0.048-0.01-0.01-0.04-0.075-0.026-0.008-0.01</f>
        <v>3.2690000000000015</v>
      </c>
    </row>
    <row r="694" spans="2:6" x14ac:dyDescent="0.2">
      <c r="B694" s="30" t="s">
        <v>353</v>
      </c>
      <c r="C694" s="30" t="s">
        <v>217</v>
      </c>
      <c r="D694" s="30">
        <v>60</v>
      </c>
      <c r="E694" s="101"/>
      <c r="F694" s="99">
        <f>0.176+1.418-0.176-0.09-0.211-0.128</f>
        <v>0.98899999999999977</v>
      </c>
    </row>
    <row r="695" spans="2:6" x14ac:dyDescent="0.2">
      <c r="B695" s="30" t="s">
        <v>353</v>
      </c>
      <c r="C695" s="30" t="s">
        <v>217</v>
      </c>
      <c r="D695" s="30">
        <v>85</v>
      </c>
      <c r="E695" s="101"/>
      <c r="F695" s="99">
        <f>1.68-0.06-0.19-0.128-0.19-0.188-0.188</f>
        <v>0.73600000000000021</v>
      </c>
    </row>
    <row r="696" spans="2:6" x14ac:dyDescent="0.2">
      <c r="B696" s="30" t="s">
        <v>353</v>
      </c>
      <c r="C696" s="30" t="s">
        <v>217</v>
      </c>
      <c r="D696" s="30">
        <v>180</v>
      </c>
      <c r="E696" s="101"/>
      <c r="F696" s="99">
        <f>2.425+2.17-0.14-0.152-0.4-0.146-0.2-0.2-0.09-0.16</f>
        <v>3.1069999999999998</v>
      </c>
    </row>
    <row r="697" spans="2:6" x14ac:dyDescent="0.2">
      <c r="B697" s="30" t="s">
        <v>353</v>
      </c>
      <c r="C697" s="30" t="s">
        <v>217</v>
      </c>
      <c r="D697" s="30">
        <v>200</v>
      </c>
      <c r="E697" s="101"/>
      <c r="F697" s="34">
        <f>(0.356)+1.04-0.502-0.134</f>
        <v>0.7599999999999999</v>
      </c>
    </row>
    <row r="698" spans="2:6" x14ac:dyDescent="0.2">
      <c r="B698" s="30" t="s">
        <v>353</v>
      </c>
      <c r="C698" s="30" t="s">
        <v>217</v>
      </c>
      <c r="D698" s="30">
        <v>210</v>
      </c>
      <c r="E698" s="101"/>
      <c r="F698" s="34">
        <f>1.365-0.14-0.356-0.274</f>
        <v>0.59500000000000008</v>
      </c>
    </row>
    <row r="699" spans="2:6" x14ac:dyDescent="0.2">
      <c r="B699" s="30" t="s">
        <v>353</v>
      </c>
      <c r="C699" s="30" t="s">
        <v>217</v>
      </c>
      <c r="D699" s="30" t="s">
        <v>421</v>
      </c>
      <c r="E699" s="101"/>
      <c r="F699" s="99">
        <v>10.205</v>
      </c>
    </row>
    <row r="700" spans="2:6" x14ac:dyDescent="0.2">
      <c r="B700" s="30" t="s">
        <v>353</v>
      </c>
      <c r="C700" s="30" t="s">
        <v>217</v>
      </c>
      <c r="D700" s="30" t="s">
        <v>422</v>
      </c>
      <c r="E700" s="101"/>
      <c r="F700" s="99">
        <v>12.29</v>
      </c>
    </row>
    <row r="701" spans="2:6" x14ac:dyDescent="0.2">
      <c r="B701" s="101" t="s">
        <v>353</v>
      </c>
      <c r="C701" s="30" t="s">
        <v>217</v>
      </c>
      <c r="D701" s="101">
        <v>20</v>
      </c>
      <c r="E701" s="25"/>
      <c r="F701" s="99">
        <f>0.22-0.025-0.015-0.015-0.015-0.015</f>
        <v>0.13499999999999995</v>
      </c>
    </row>
    <row r="702" spans="2:6" x14ac:dyDescent="0.2">
      <c r="B702" s="101" t="s">
        <v>353</v>
      </c>
      <c r="C702" s="30" t="s">
        <v>217</v>
      </c>
      <c r="D702" s="101">
        <v>29</v>
      </c>
      <c r="E702" s="183"/>
      <c r="F702" s="99">
        <v>1.5</v>
      </c>
    </row>
    <row r="703" spans="2:6" x14ac:dyDescent="0.2">
      <c r="B703" s="101" t="s">
        <v>353</v>
      </c>
      <c r="C703" s="30" t="s">
        <v>217</v>
      </c>
      <c r="D703" s="101" t="s">
        <v>1543</v>
      </c>
      <c r="E703" s="183"/>
      <c r="F703" s="99">
        <f>3.43-0.17-0.225-0.195-0.145-0.2-0.19-0.125-0.55-0.23-0.22-0.135-0.63-0.03</f>
        <v>0.38500000000000012</v>
      </c>
    </row>
    <row r="704" spans="2:6" x14ac:dyDescent="0.2">
      <c r="B704" s="101" t="s">
        <v>353</v>
      </c>
      <c r="C704" s="30" t="s">
        <v>217</v>
      </c>
      <c r="D704" s="101">
        <v>32</v>
      </c>
      <c r="E704" s="25"/>
      <c r="F704" s="99">
        <f>2.02-0.025-0.03-0.035-0.065-0.03-0.12-0.21-0.205-0.085-0.03</f>
        <v>1.1850000000000003</v>
      </c>
    </row>
    <row r="705" spans="2:6" x14ac:dyDescent="0.2">
      <c r="B705" s="101" t="s">
        <v>353</v>
      </c>
      <c r="C705" s="30" t="s">
        <v>217</v>
      </c>
      <c r="D705" s="101" t="s">
        <v>1546</v>
      </c>
      <c r="E705" s="25"/>
      <c r="F705" s="99">
        <f>2.29-0.5-0.12-0.155-0.085-0.11</f>
        <v>1.3199999999999998</v>
      </c>
    </row>
    <row r="706" spans="2:6" x14ac:dyDescent="0.2">
      <c r="B706" s="101" t="s">
        <v>353</v>
      </c>
      <c r="C706" s="30" t="s">
        <v>217</v>
      </c>
      <c r="D706" s="101" t="s">
        <v>1548</v>
      </c>
      <c r="E706" s="25"/>
      <c r="F706" s="99">
        <f>0.51-0.08-0.035</f>
        <v>0.39500000000000002</v>
      </c>
    </row>
    <row r="707" spans="2:6" x14ac:dyDescent="0.2">
      <c r="B707" s="101" t="s">
        <v>353</v>
      </c>
      <c r="C707" s="30" t="s">
        <v>217</v>
      </c>
      <c r="D707" s="101">
        <v>36</v>
      </c>
      <c r="E707" s="183"/>
      <c r="F707" s="99">
        <f>0.3-0.08-0.015-0.08</f>
        <v>0.12499999999999996</v>
      </c>
    </row>
    <row r="708" spans="2:6" x14ac:dyDescent="0.2">
      <c r="B708" s="101" t="s">
        <v>353</v>
      </c>
      <c r="C708" s="30" t="s">
        <v>217</v>
      </c>
      <c r="D708" s="101" t="s">
        <v>1578</v>
      </c>
      <c r="E708" s="183"/>
      <c r="F708" s="99">
        <f>1.85-0.05-0.125-0.06</f>
        <v>1.615</v>
      </c>
    </row>
    <row r="709" spans="2:6" x14ac:dyDescent="0.2">
      <c r="B709" s="101" t="s">
        <v>353</v>
      </c>
      <c r="C709" s="30" t="s">
        <v>217</v>
      </c>
      <c r="D709" s="101">
        <v>120</v>
      </c>
      <c r="E709" s="183"/>
      <c r="F709" s="99">
        <f>1.58-0.64-0.235-0.17</f>
        <v>0.53500000000000003</v>
      </c>
    </row>
    <row r="710" spans="2:6" x14ac:dyDescent="0.2">
      <c r="B710" s="101" t="s">
        <v>353</v>
      </c>
      <c r="C710" s="30" t="s">
        <v>217</v>
      </c>
      <c r="D710" s="101" t="s">
        <v>1663</v>
      </c>
      <c r="E710" s="183"/>
      <c r="F710" s="99"/>
    </row>
    <row r="711" spans="2:6" x14ac:dyDescent="0.2">
      <c r="B711" s="101" t="s">
        <v>353</v>
      </c>
      <c r="C711" s="30" t="s">
        <v>217</v>
      </c>
      <c r="D711" s="101" t="s">
        <v>1675</v>
      </c>
      <c r="E711" s="25"/>
      <c r="F711" s="99">
        <v>0.05</v>
      </c>
    </row>
    <row r="712" spans="2:6" x14ac:dyDescent="0.2">
      <c r="B712" s="101" t="s">
        <v>353</v>
      </c>
      <c r="C712" s="30" t="s">
        <v>217</v>
      </c>
      <c r="D712" s="101" t="s">
        <v>1676</v>
      </c>
      <c r="E712" s="25"/>
      <c r="F712" s="99">
        <v>0.06</v>
      </c>
    </row>
    <row r="713" spans="2:6" x14ac:dyDescent="0.2">
      <c r="B713" s="101" t="s">
        <v>353</v>
      </c>
      <c r="C713" s="30" t="s">
        <v>217</v>
      </c>
      <c r="D713" s="101" t="s">
        <v>1677</v>
      </c>
      <c r="E713" s="25"/>
      <c r="F713" s="99">
        <v>0.05</v>
      </c>
    </row>
    <row r="714" spans="2:6" x14ac:dyDescent="0.2">
      <c r="B714" s="101" t="s">
        <v>353</v>
      </c>
      <c r="C714" s="30" t="s">
        <v>217</v>
      </c>
      <c r="D714" s="101" t="s">
        <v>1684</v>
      </c>
      <c r="E714" s="25"/>
      <c r="F714" s="99">
        <f>0.055+0.06+0.06</f>
        <v>0.17499999999999999</v>
      </c>
    </row>
    <row r="715" spans="2:6" x14ac:dyDescent="0.2">
      <c r="B715" s="101" t="s">
        <v>353</v>
      </c>
      <c r="C715" s="30" t="s">
        <v>217</v>
      </c>
      <c r="D715" s="101">
        <v>290</v>
      </c>
      <c r="E715" s="183"/>
      <c r="F715" s="99">
        <v>0.27</v>
      </c>
    </row>
    <row r="716" spans="2:6" x14ac:dyDescent="0.2">
      <c r="B716" s="101" t="s">
        <v>353</v>
      </c>
      <c r="C716" s="30" t="s">
        <v>217</v>
      </c>
      <c r="D716" s="101" t="s">
        <v>1690</v>
      </c>
      <c r="E716" s="183"/>
      <c r="F716" s="99"/>
    </row>
    <row r="717" spans="2:6" x14ac:dyDescent="0.2">
      <c r="B717" s="101" t="s">
        <v>353</v>
      </c>
      <c r="C717" s="30" t="s">
        <v>217</v>
      </c>
      <c r="D717" s="101">
        <v>300</v>
      </c>
      <c r="E717" s="25"/>
      <c r="F717" s="99">
        <v>15</v>
      </c>
    </row>
    <row r="718" spans="2:6" x14ac:dyDescent="0.2">
      <c r="B718" s="101" t="s">
        <v>353</v>
      </c>
      <c r="C718" s="30" t="s">
        <v>217</v>
      </c>
      <c r="D718" s="101">
        <v>310</v>
      </c>
      <c r="E718" s="25"/>
      <c r="F718" s="99">
        <v>11</v>
      </c>
    </row>
    <row r="719" spans="2:6" x14ac:dyDescent="0.2">
      <c r="B719" s="101" t="s">
        <v>353</v>
      </c>
      <c r="C719" s="30" t="s">
        <v>217</v>
      </c>
      <c r="D719" s="101">
        <v>310</v>
      </c>
      <c r="E719" s="25"/>
      <c r="F719" s="99">
        <v>2.35</v>
      </c>
    </row>
    <row r="720" spans="2:6" x14ac:dyDescent="0.2">
      <c r="B720" s="101" t="s">
        <v>353</v>
      </c>
      <c r="C720" s="30" t="s">
        <v>217</v>
      </c>
      <c r="D720" s="101" t="s">
        <v>2477</v>
      </c>
      <c r="E720" s="25"/>
      <c r="F720" s="99"/>
    </row>
    <row r="721" spans="2:6" x14ac:dyDescent="0.2">
      <c r="B721" s="101" t="s">
        <v>353</v>
      </c>
      <c r="C721" s="30" t="s">
        <v>217</v>
      </c>
      <c r="D721" s="101" t="s">
        <v>2478</v>
      </c>
      <c r="E721" s="183"/>
      <c r="F721" s="99">
        <v>7.0000000000000007E-2</v>
      </c>
    </row>
    <row r="722" spans="2:6" x14ac:dyDescent="0.2">
      <c r="B722" s="101" t="s">
        <v>353</v>
      </c>
      <c r="C722" s="30" t="s">
        <v>1711</v>
      </c>
      <c r="D722" s="101" t="s">
        <v>1712</v>
      </c>
      <c r="E722" s="25"/>
      <c r="F722" s="99"/>
    </row>
    <row r="723" spans="2:6" x14ac:dyDescent="0.2">
      <c r="B723" s="101" t="s">
        <v>353</v>
      </c>
      <c r="C723" s="30" t="s">
        <v>217</v>
      </c>
      <c r="D723" s="101">
        <v>320</v>
      </c>
      <c r="E723" s="183"/>
      <c r="F723" s="99">
        <f>0.295+0.34</f>
        <v>0.63500000000000001</v>
      </c>
    </row>
    <row r="724" spans="2:6" x14ac:dyDescent="0.2">
      <c r="B724" s="101" t="s">
        <v>353</v>
      </c>
      <c r="C724" s="30" t="s">
        <v>217</v>
      </c>
      <c r="D724" s="101">
        <v>320</v>
      </c>
      <c r="E724" s="183"/>
      <c r="F724" s="99"/>
    </row>
    <row r="725" spans="2:6" x14ac:dyDescent="0.2">
      <c r="B725" s="101" t="s">
        <v>353</v>
      </c>
      <c r="C725" s="30" t="s">
        <v>217</v>
      </c>
      <c r="D725" s="101" t="s">
        <v>1717</v>
      </c>
      <c r="E725" s="183"/>
      <c r="F725" s="99">
        <v>2.62</v>
      </c>
    </row>
    <row r="726" spans="2:6" x14ac:dyDescent="0.2">
      <c r="B726" s="101" t="s">
        <v>353</v>
      </c>
      <c r="C726" s="30" t="s">
        <v>217</v>
      </c>
      <c r="D726" s="101" t="s">
        <v>1718</v>
      </c>
      <c r="E726" s="183"/>
      <c r="F726" s="99">
        <v>2.6</v>
      </c>
    </row>
    <row r="727" spans="2:6" x14ac:dyDescent="0.2">
      <c r="B727" s="101" t="s">
        <v>353</v>
      </c>
      <c r="C727" s="30" t="s">
        <v>217</v>
      </c>
      <c r="D727" s="101" t="s">
        <v>1718</v>
      </c>
      <c r="E727" s="183"/>
      <c r="F727" s="99">
        <v>2.0099999999999998</v>
      </c>
    </row>
    <row r="728" spans="2:6" x14ac:dyDescent="0.2">
      <c r="B728" s="101" t="s">
        <v>353</v>
      </c>
      <c r="C728" s="30" t="s">
        <v>217</v>
      </c>
      <c r="D728" s="101" t="s">
        <v>1719</v>
      </c>
      <c r="E728" s="183"/>
      <c r="F728" s="99">
        <v>0.81</v>
      </c>
    </row>
    <row r="729" spans="2:6" x14ac:dyDescent="0.2">
      <c r="B729" s="101" t="s">
        <v>353</v>
      </c>
      <c r="C729" s="30" t="s">
        <v>217</v>
      </c>
      <c r="D729" s="101">
        <v>330</v>
      </c>
      <c r="E729" s="183"/>
      <c r="F729" s="99">
        <f>7.7-0.45-0.77-1.28-1.015-1.015</f>
        <v>3.1700000000000008</v>
      </c>
    </row>
    <row r="730" spans="2:6" x14ac:dyDescent="0.2">
      <c r="B730" s="101" t="s">
        <v>353</v>
      </c>
      <c r="C730" s="30" t="s">
        <v>217</v>
      </c>
      <c r="D730" s="101">
        <v>330</v>
      </c>
      <c r="E730" s="183"/>
      <c r="F730" s="99">
        <v>15</v>
      </c>
    </row>
    <row r="731" spans="2:6" x14ac:dyDescent="0.2">
      <c r="B731" s="101" t="s">
        <v>353</v>
      </c>
      <c r="C731" s="30" t="s">
        <v>217</v>
      </c>
      <c r="D731" s="101" t="s">
        <v>1734</v>
      </c>
      <c r="E731" s="183"/>
      <c r="F731" s="99">
        <v>0.31</v>
      </c>
    </row>
    <row r="732" spans="2:6" x14ac:dyDescent="0.2">
      <c r="B732" s="101" t="s">
        <v>353</v>
      </c>
      <c r="C732" s="30" t="s">
        <v>217</v>
      </c>
      <c r="D732" s="101">
        <v>340</v>
      </c>
      <c r="E732" s="183"/>
      <c r="F732" s="99">
        <v>15</v>
      </c>
    </row>
    <row r="733" spans="2:6" x14ac:dyDescent="0.2">
      <c r="B733" s="101" t="s">
        <v>353</v>
      </c>
      <c r="C733" s="30" t="s">
        <v>217</v>
      </c>
      <c r="D733" s="101">
        <v>340</v>
      </c>
      <c r="E733" s="183"/>
      <c r="F733" s="99">
        <f>0.025+0.13+0.055</f>
        <v>0.21</v>
      </c>
    </row>
    <row r="734" spans="2:6" x14ac:dyDescent="0.2">
      <c r="B734" s="101" t="s">
        <v>353</v>
      </c>
      <c r="C734" s="30" t="s">
        <v>217</v>
      </c>
      <c r="D734" s="101">
        <v>340</v>
      </c>
      <c r="E734" s="183"/>
      <c r="F734" s="99">
        <f>0.15+0.14</f>
        <v>0.29000000000000004</v>
      </c>
    </row>
    <row r="735" spans="2:6" x14ac:dyDescent="0.2">
      <c r="B735" s="101" t="s">
        <v>353</v>
      </c>
      <c r="C735" s="30" t="s">
        <v>217</v>
      </c>
      <c r="D735" s="101" t="s">
        <v>1743</v>
      </c>
      <c r="E735" s="183"/>
      <c r="F735" s="99">
        <f>0.13+0.16</f>
        <v>0.29000000000000004</v>
      </c>
    </row>
    <row r="736" spans="2:6" x14ac:dyDescent="0.2">
      <c r="B736" s="101" t="s">
        <v>353</v>
      </c>
      <c r="C736" s="30" t="s">
        <v>217</v>
      </c>
      <c r="D736" s="101" t="s">
        <v>1744</v>
      </c>
      <c r="E736" s="183"/>
      <c r="F736" s="99">
        <v>7.0000000000000007E-2</v>
      </c>
    </row>
    <row r="737" spans="2:6" x14ac:dyDescent="0.2">
      <c r="B737" s="101" t="s">
        <v>353</v>
      </c>
      <c r="C737" s="30" t="s">
        <v>217</v>
      </c>
      <c r="D737" s="101" t="s">
        <v>1745</v>
      </c>
      <c r="E737" s="183"/>
      <c r="F737" s="99">
        <v>2.31</v>
      </c>
    </row>
    <row r="738" spans="2:6" x14ac:dyDescent="0.2">
      <c r="B738" s="101" t="s">
        <v>353</v>
      </c>
      <c r="C738" s="30" t="s">
        <v>217</v>
      </c>
      <c r="D738" s="101">
        <v>350</v>
      </c>
      <c r="E738" s="183"/>
      <c r="F738" s="99">
        <v>15</v>
      </c>
    </row>
    <row r="739" spans="2:6" x14ac:dyDescent="0.2">
      <c r="B739" s="78" t="s">
        <v>353</v>
      </c>
      <c r="C739" s="174" t="s">
        <v>692</v>
      </c>
      <c r="D739" s="2" t="s">
        <v>112</v>
      </c>
      <c r="E739" s="4"/>
      <c r="F739" s="39">
        <v>0.35499999999999998</v>
      </c>
    </row>
    <row r="740" spans="2:6" x14ac:dyDescent="0.2">
      <c r="B740" s="30" t="s">
        <v>353</v>
      </c>
      <c r="C740" s="30" t="s">
        <v>413</v>
      </c>
      <c r="D740" s="30">
        <v>130</v>
      </c>
      <c r="E740" s="101"/>
      <c r="F740" s="34">
        <f>0.31-0.034-0.048</f>
        <v>0.22800000000000004</v>
      </c>
    </row>
    <row r="741" spans="2:6" x14ac:dyDescent="0.2">
      <c r="B741" s="101" t="s">
        <v>353</v>
      </c>
      <c r="C741" s="30" t="s">
        <v>413</v>
      </c>
      <c r="D741" s="101" t="s">
        <v>1566</v>
      </c>
      <c r="E741" s="25"/>
      <c r="F741" s="99">
        <v>4.4999999999999998E-2</v>
      </c>
    </row>
    <row r="742" spans="2:6" x14ac:dyDescent="0.2">
      <c r="B742" s="101" t="s">
        <v>353</v>
      </c>
      <c r="C742" s="30" t="s">
        <v>407</v>
      </c>
      <c r="D742" s="101">
        <v>90</v>
      </c>
      <c r="E742" s="183"/>
      <c r="F742" s="99">
        <f>0.98-0.07-0.04-0.33</f>
        <v>0.53999999999999981</v>
      </c>
    </row>
    <row r="743" spans="2:6" x14ac:dyDescent="0.2">
      <c r="B743" s="101" t="s">
        <v>353</v>
      </c>
      <c r="C743" s="30" t="s">
        <v>407</v>
      </c>
      <c r="D743" s="101">
        <v>120</v>
      </c>
      <c r="E743" s="25"/>
      <c r="F743" s="99">
        <f>10.05-0.44-1.31-0.44-0.43-2.16-1.22-0.44-1.8</f>
        <v>1.8100000000000007</v>
      </c>
    </row>
    <row r="744" spans="2:6" x14ac:dyDescent="0.2">
      <c r="B744" s="101" t="s">
        <v>353</v>
      </c>
      <c r="C744" s="30" t="s">
        <v>407</v>
      </c>
      <c r="D744" s="101">
        <v>120</v>
      </c>
      <c r="E744" s="25"/>
      <c r="F744" s="99">
        <v>1.79</v>
      </c>
    </row>
    <row r="745" spans="2:6" x14ac:dyDescent="0.2">
      <c r="B745" s="101" t="s">
        <v>353</v>
      </c>
      <c r="C745" s="30" t="s">
        <v>407</v>
      </c>
      <c r="D745" s="101">
        <v>130</v>
      </c>
      <c r="E745" s="183"/>
      <c r="F745" s="99">
        <v>0.41499999999999998</v>
      </c>
    </row>
    <row r="746" spans="2:6" x14ac:dyDescent="0.2">
      <c r="B746" s="101" t="s">
        <v>353</v>
      </c>
      <c r="C746" s="30" t="s">
        <v>407</v>
      </c>
      <c r="D746" s="101">
        <v>130</v>
      </c>
      <c r="E746" s="25"/>
      <c r="F746" s="99">
        <v>0.32</v>
      </c>
    </row>
    <row r="747" spans="2:6" x14ac:dyDescent="0.2">
      <c r="B747" s="101" t="s">
        <v>353</v>
      </c>
      <c r="C747" s="30" t="s">
        <v>407</v>
      </c>
      <c r="D747" s="101">
        <v>170</v>
      </c>
      <c r="E747" s="183"/>
      <c r="F747" s="99">
        <f>18.19-0.75-2.28-3.75-0.76-2.27-1.51</f>
        <v>6.8700000000000028</v>
      </c>
    </row>
    <row r="748" spans="2:6" x14ac:dyDescent="0.2">
      <c r="B748" s="101" t="s">
        <v>353</v>
      </c>
      <c r="C748" s="30" t="s">
        <v>407</v>
      </c>
      <c r="D748" s="101">
        <v>200</v>
      </c>
      <c r="E748" s="183"/>
      <c r="F748" s="99">
        <v>0.47</v>
      </c>
    </row>
    <row r="749" spans="2:6" x14ac:dyDescent="0.2">
      <c r="B749" s="101" t="s">
        <v>353</v>
      </c>
      <c r="C749" s="30" t="s">
        <v>1580</v>
      </c>
      <c r="D749" s="101">
        <v>80</v>
      </c>
      <c r="E749" s="25"/>
      <c r="F749" s="99">
        <f>1.44-0.26-0.11-0.13</f>
        <v>0.93999999999999984</v>
      </c>
    </row>
    <row r="750" spans="2:6" x14ac:dyDescent="0.2">
      <c r="B750" s="30" t="s">
        <v>353</v>
      </c>
      <c r="C750" s="30" t="s">
        <v>492</v>
      </c>
      <c r="D750" s="30">
        <v>170</v>
      </c>
      <c r="E750" s="101"/>
      <c r="F750" s="99">
        <v>0.752</v>
      </c>
    </row>
    <row r="751" spans="2:6" x14ac:dyDescent="0.2">
      <c r="B751" s="30" t="s">
        <v>353</v>
      </c>
      <c r="C751" s="30" t="s">
        <v>492</v>
      </c>
      <c r="D751" s="30">
        <v>170</v>
      </c>
      <c r="E751" s="101"/>
      <c r="F751" s="99">
        <f>4.024-0.112-0.162</f>
        <v>3.75</v>
      </c>
    </row>
    <row r="752" spans="2:6" x14ac:dyDescent="0.2">
      <c r="B752" s="30" t="s">
        <v>353</v>
      </c>
      <c r="C752" s="30" t="s">
        <v>492</v>
      </c>
      <c r="D752" s="30">
        <v>260</v>
      </c>
      <c r="E752" s="101"/>
      <c r="F752" s="99">
        <f>0.866-0.39</f>
        <v>0.47599999999999998</v>
      </c>
    </row>
    <row r="753" spans="2:6" x14ac:dyDescent="0.2">
      <c r="B753" s="30" t="s">
        <v>353</v>
      </c>
      <c r="C753" s="30" t="s">
        <v>492</v>
      </c>
      <c r="D753" s="30">
        <v>300</v>
      </c>
      <c r="E753" s="101"/>
      <c r="F753" s="34">
        <f>1.386-0.096-0.564</f>
        <v>0.72599999999999987</v>
      </c>
    </row>
    <row r="754" spans="2:6" x14ac:dyDescent="0.2">
      <c r="B754" s="101" t="s">
        <v>353</v>
      </c>
      <c r="C754" s="30" t="s">
        <v>492</v>
      </c>
      <c r="D754" s="101">
        <v>100</v>
      </c>
      <c r="E754" s="25"/>
      <c r="F754" s="99">
        <v>0.34</v>
      </c>
    </row>
    <row r="755" spans="2:6" x14ac:dyDescent="0.2">
      <c r="B755" s="101" t="s">
        <v>353</v>
      </c>
      <c r="C755" s="30" t="s">
        <v>492</v>
      </c>
      <c r="D755" s="101">
        <v>100</v>
      </c>
      <c r="E755" s="25"/>
      <c r="F755" s="99">
        <f>1.26-0.31-0.33</f>
        <v>0.61999999999999988</v>
      </c>
    </row>
    <row r="756" spans="2:6" x14ac:dyDescent="0.2">
      <c r="B756" s="101" t="s">
        <v>353</v>
      </c>
      <c r="C756" s="30" t="s">
        <v>492</v>
      </c>
      <c r="D756" s="101">
        <v>100</v>
      </c>
      <c r="E756" s="25"/>
      <c r="F756" s="99">
        <f>10.12-0.2-1.27-0.15-1.52-0.06-0.2-1.48-0.08-0.68</f>
        <v>4.4800000000000004</v>
      </c>
    </row>
    <row r="757" spans="2:6" x14ac:dyDescent="0.2">
      <c r="B757" s="101" t="s">
        <v>353</v>
      </c>
      <c r="C757" s="30" t="s">
        <v>492</v>
      </c>
      <c r="D757" s="101">
        <v>160</v>
      </c>
      <c r="E757" s="183"/>
      <c r="F757" s="99">
        <v>0.33</v>
      </c>
    </row>
    <row r="758" spans="2:6" x14ac:dyDescent="0.2">
      <c r="B758" s="101" t="s">
        <v>353</v>
      </c>
      <c r="C758" s="30" t="s">
        <v>492</v>
      </c>
      <c r="D758" s="101">
        <v>230</v>
      </c>
      <c r="E758" s="25"/>
      <c r="F758" s="99">
        <v>0.77</v>
      </c>
    </row>
    <row r="759" spans="2:6" x14ac:dyDescent="0.2">
      <c r="B759" s="101" t="s">
        <v>353</v>
      </c>
      <c r="C759" s="30" t="s">
        <v>492</v>
      </c>
      <c r="D759" s="101" t="s">
        <v>1678</v>
      </c>
      <c r="E759" s="25"/>
      <c r="F759" s="99">
        <v>0.44500000000000001</v>
      </c>
    </row>
    <row r="760" spans="2:6" x14ac:dyDescent="0.2">
      <c r="B760" s="101" t="s">
        <v>353</v>
      </c>
      <c r="C760" s="30" t="s">
        <v>492</v>
      </c>
      <c r="D760" s="101">
        <v>300</v>
      </c>
      <c r="E760" s="183"/>
      <c r="F760" s="99">
        <v>6.2</v>
      </c>
    </row>
    <row r="761" spans="2:6" x14ac:dyDescent="0.2">
      <c r="B761" s="101" t="s">
        <v>353</v>
      </c>
      <c r="C761" s="30" t="s">
        <v>492</v>
      </c>
      <c r="D761" s="101" t="s">
        <v>2473</v>
      </c>
      <c r="E761" s="25"/>
      <c r="F761" s="99"/>
    </row>
    <row r="762" spans="2:6" x14ac:dyDescent="0.2">
      <c r="B762" s="101" t="s">
        <v>353</v>
      </c>
      <c r="C762" s="30" t="s">
        <v>492</v>
      </c>
      <c r="D762" s="101" t="s">
        <v>2474</v>
      </c>
      <c r="E762" s="25"/>
      <c r="F762" s="99">
        <v>0.39</v>
      </c>
    </row>
    <row r="763" spans="2:6" x14ac:dyDescent="0.2">
      <c r="B763" s="101" t="s">
        <v>353</v>
      </c>
      <c r="C763" s="30" t="s">
        <v>492</v>
      </c>
      <c r="D763" s="101">
        <v>320</v>
      </c>
      <c r="E763" s="183"/>
      <c r="F763" s="99">
        <v>6.2</v>
      </c>
    </row>
    <row r="764" spans="2:6" x14ac:dyDescent="0.2">
      <c r="B764" s="101" t="s">
        <v>353</v>
      </c>
      <c r="C764" s="30" t="s">
        <v>492</v>
      </c>
      <c r="D764" s="101" t="s">
        <v>1739</v>
      </c>
      <c r="E764" s="183"/>
      <c r="F764" s="99"/>
    </row>
    <row r="765" spans="2:6" x14ac:dyDescent="0.2">
      <c r="B765" s="101" t="s">
        <v>353</v>
      </c>
      <c r="C765" s="30" t="s">
        <v>492</v>
      </c>
      <c r="D765" s="101">
        <v>340</v>
      </c>
      <c r="E765" s="183"/>
      <c r="F765" s="99">
        <f>4.79+3.025</f>
        <v>7.8149999999999995</v>
      </c>
    </row>
    <row r="766" spans="2:6" x14ac:dyDescent="0.2">
      <c r="B766" s="101" t="s">
        <v>353</v>
      </c>
      <c r="C766" s="30" t="s">
        <v>492</v>
      </c>
      <c r="D766" s="101" t="s">
        <v>1746</v>
      </c>
      <c r="E766" s="183"/>
      <c r="F766" s="99">
        <v>0.94</v>
      </c>
    </row>
    <row r="767" spans="2:6" x14ac:dyDescent="0.2">
      <c r="B767" s="101" t="s">
        <v>353</v>
      </c>
      <c r="C767" s="30" t="s">
        <v>492</v>
      </c>
      <c r="D767" s="101" t="s">
        <v>1763</v>
      </c>
      <c r="E767" s="25"/>
      <c r="F767" s="99"/>
    </row>
    <row r="768" spans="2:6" x14ac:dyDescent="0.2">
      <c r="B768" s="101" t="s">
        <v>353</v>
      </c>
      <c r="C768" s="30" t="s">
        <v>492</v>
      </c>
      <c r="D768" s="101" t="s">
        <v>1764</v>
      </c>
      <c r="E768" s="25"/>
      <c r="F768" s="99">
        <v>0.44500000000000001</v>
      </c>
    </row>
    <row r="769" spans="2:6" x14ac:dyDescent="0.2">
      <c r="B769" s="101" t="s">
        <v>353</v>
      </c>
      <c r="C769" s="30" t="s">
        <v>1595</v>
      </c>
      <c r="D769" s="101">
        <v>100</v>
      </c>
      <c r="E769" s="25"/>
      <c r="F769" s="99">
        <v>4.53</v>
      </c>
    </row>
    <row r="770" spans="2:6" x14ac:dyDescent="0.2">
      <c r="B770" s="4" t="s">
        <v>353</v>
      </c>
      <c r="C770" s="173" t="s">
        <v>406</v>
      </c>
      <c r="D770" s="63" t="s">
        <v>654</v>
      </c>
      <c r="E770" s="4" t="s">
        <v>28</v>
      </c>
      <c r="F770" s="38">
        <v>1.65</v>
      </c>
    </row>
    <row r="771" spans="2:6" x14ac:dyDescent="0.2">
      <c r="B771" s="4" t="s">
        <v>353</v>
      </c>
      <c r="C771" s="174" t="s">
        <v>406</v>
      </c>
      <c r="D771" s="37" t="s">
        <v>650</v>
      </c>
      <c r="E771" s="4" t="s">
        <v>28</v>
      </c>
      <c r="F771" s="39">
        <v>1.49</v>
      </c>
    </row>
    <row r="772" spans="2:6" x14ac:dyDescent="0.2">
      <c r="B772" s="30" t="s">
        <v>353</v>
      </c>
      <c r="C772" s="30" t="s">
        <v>406</v>
      </c>
      <c r="D772" s="30">
        <v>160</v>
      </c>
      <c r="E772" s="101"/>
      <c r="F772" s="99">
        <f>3.496-0.156-0.5-0.096-0.156</f>
        <v>2.5879999999999996</v>
      </c>
    </row>
    <row r="773" spans="2:6" x14ac:dyDescent="0.2">
      <c r="B773" s="30" t="s">
        <v>353</v>
      </c>
      <c r="C773" s="30" t="s">
        <v>406</v>
      </c>
      <c r="D773" s="30">
        <v>180</v>
      </c>
      <c r="E773" s="101"/>
      <c r="F773" s="99">
        <f>2.16-0.632-0.05-0.4-0.182</f>
        <v>0.89599999999999991</v>
      </c>
    </row>
    <row r="774" spans="2:6" x14ac:dyDescent="0.2">
      <c r="B774" s="30" t="s">
        <v>353</v>
      </c>
      <c r="C774" s="30" t="s">
        <v>406</v>
      </c>
      <c r="D774" s="30">
        <v>200</v>
      </c>
      <c r="E774" s="101"/>
      <c r="F774" s="34">
        <f>6.072-0.346-0.184-0.186</f>
        <v>5.3559999999999999</v>
      </c>
    </row>
    <row r="775" spans="2:6" x14ac:dyDescent="0.2">
      <c r="B775" s="101" t="s">
        <v>353</v>
      </c>
      <c r="C775" s="30" t="s">
        <v>406</v>
      </c>
      <c r="D775" s="101">
        <v>170</v>
      </c>
      <c r="E775" s="183"/>
      <c r="F775" s="99">
        <v>0.54500000000000004</v>
      </c>
    </row>
    <row r="776" spans="2:6" x14ac:dyDescent="0.2">
      <c r="B776" s="101" t="s">
        <v>353</v>
      </c>
      <c r="C776" s="30" t="s">
        <v>406</v>
      </c>
      <c r="D776" s="101">
        <v>180</v>
      </c>
      <c r="E776" s="25"/>
      <c r="F776" s="99">
        <v>0.28999999999999998</v>
      </c>
    </row>
    <row r="777" spans="2:6" x14ac:dyDescent="0.2">
      <c r="B777" s="101" t="s">
        <v>353</v>
      </c>
      <c r="C777" s="30" t="s">
        <v>406</v>
      </c>
      <c r="D777" s="101">
        <v>200</v>
      </c>
      <c r="E777" s="183"/>
      <c r="F777" s="99">
        <v>0.6</v>
      </c>
    </row>
    <row r="778" spans="2:6" x14ac:dyDescent="0.2">
      <c r="B778" s="101" t="s">
        <v>353</v>
      </c>
      <c r="C778" s="30" t="s">
        <v>406</v>
      </c>
      <c r="D778" s="101">
        <v>270</v>
      </c>
      <c r="E778" s="25"/>
      <c r="F778" s="99">
        <v>1.32</v>
      </c>
    </row>
    <row r="779" spans="2:6" x14ac:dyDescent="0.2">
      <c r="B779" s="30" t="s">
        <v>353</v>
      </c>
      <c r="C779" s="30" t="s">
        <v>408</v>
      </c>
      <c r="D779" s="30">
        <v>250</v>
      </c>
      <c r="E779" s="101"/>
      <c r="F779" s="99">
        <f>2.36-0.58-0.582-0.382-0.058</f>
        <v>0.7579999999999999</v>
      </c>
    </row>
    <row r="780" spans="2:6" x14ac:dyDescent="0.2">
      <c r="B780" s="101" t="s">
        <v>353</v>
      </c>
      <c r="C780" s="30" t="s">
        <v>1673</v>
      </c>
      <c r="D780" s="101" t="s">
        <v>2464</v>
      </c>
      <c r="E780" s="183"/>
      <c r="F780" s="99">
        <v>0.87</v>
      </c>
    </row>
    <row r="781" spans="2:6" x14ac:dyDescent="0.2">
      <c r="B781" s="101" t="s">
        <v>353</v>
      </c>
      <c r="C781" s="30" t="s">
        <v>1673</v>
      </c>
      <c r="D781" s="101" t="s">
        <v>2464</v>
      </c>
      <c r="E781" s="183"/>
      <c r="F781" s="99">
        <v>0.43</v>
      </c>
    </row>
    <row r="782" spans="2:6" x14ac:dyDescent="0.2">
      <c r="B782" s="30" t="s">
        <v>353</v>
      </c>
      <c r="C782" s="30" t="s">
        <v>1200</v>
      </c>
      <c r="D782" s="30" t="s">
        <v>424</v>
      </c>
      <c r="E782" s="101"/>
      <c r="F782" s="99">
        <v>0.56599999999999995</v>
      </c>
    </row>
    <row r="783" spans="2:6" x14ac:dyDescent="0.2">
      <c r="B783" s="30" t="s">
        <v>353</v>
      </c>
      <c r="C783" s="30" t="s">
        <v>1199</v>
      </c>
      <c r="D783" s="30" t="s">
        <v>425</v>
      </c>
      <c r="E783" s="101"/>
      <c r="F783" s="34">
        <f>1.188-1.188+(1.188)</f>
        <v>1.1879999999999999</v>
      </c>
    </row>
    <row r="784" spans="2:6" x14ac:dyDescent="0.2">
      <c r="B784" s="101" t="s">
        <v>353</v>
      </c>
      <c r="C784" s="30" t="s">
        <v>1715</v>
      </c>
      <c r="D784" s="101" t="s">
        <v>1717</v>
      </c>
      <c r="E784" s="183"/>
      <c r="F784" s="99">
        <v>4.72</v>
      </c>
    </row>
    <row r="785" spans="2:6" x14ac:dyDescent="0.2">
      <c r="B785" s="101" t="s">
        <v>353</v>
      </c>
      <c r="C785" s="30" t="s">
        <v>1715</v>
      </c>
      <c r="D785" s="101" t="s">
        <v>1718</v>
      </c>
      <c r="E785" s="183"/>
      <c r="F785" s="99">
        <v>4.0999999999999996</v>
      </c>
    </row>
    <row r="786" spans="2:6" x14ac:dyDescent="0.2">
      <c r="B786" s="4" t="s">
        <v>353</v>
      </c>
      <c r="C786" s="174" t="s">
        <v>711</v>
      </c>
      <c r="D786" s="64" t="s">
        <v>675</v>
      </c>
      <c r="E786" s="4">
        <v>2.2599999999999998</v>
      </c>
      <c r="F786" s="40">
        <v>0.46</v>
      </c>
    </row>
    <row r="787" spans="2:6" x14ac:dyDescent="0.2">
      <c r="B787" s="101" t="s">
        <v>353</v>
      </c>
      <c r="C787" s="30" t="s">
        <v>1549</v>
      </c>
      <c r="D787" s="101">
        <v>34</v>
      </c>
      <c r="E787" s="25"/>
      <c r="F787" s="99">
        <f>1.98-0.05-0.21</f>
        <v>1.72</v>
      </c>
    </row>
    <row r="788" spans="2:6" x14ac:dyDescent="0.2">
      <c r="B788" s="30" t="s">
        <v>353</v>
      </c>
      <c r="C788" s="30" t="s">
        <v>420</v>
      </c>
      <c r="D788" s="30">
        <v>90</v>
      </c>
      <c r="E788" s="101"/>
      <c r="F788" s="99">
        <f>2.7-0.164-0.258</f>
        <v>2.278</v>
      </c>
    </row>
    <row r="789" spans="2:6" x14ac:dyDescent="0.2">
      <c r="B789" s="30" t="s">
        <v>353</v>
      </c>
      <c r="C789" s="30" t="s">
        <v>420</v>
      </c>
      <c r="D789" s="30">
        <v>160</v>
      </c>
      <c r="E789" s="101"/>
      <c r="F789" s="99">
        <f>2-0.174-0.518-0.166-0.192-0.026-0.334-0.064</f>
        <v>0.52600000000000002</v>
      </c>
    </row>
    <row r="790" spans="2:6" x14ac:dyDescent="0.2">
      <c r="B790" s="36" t="s">
        <v>353</v>
      </c>
      <c r="C790" s="176" t="s">
        <v>845</v>
      </c>
      <c r="D790" s="36">
        <v>90</v>
      </c>
      <c r="E790" s="44"/>
      <c r="F790" s="46">
        <v>0.23</v>
      </c>
    </row>
    <row r="791" spans="2:6" x14ac:dyDescent="0.2">
      <c r="B791" s="36" t="s">
        <v>353</v>
      </c>
      <c r="C791" s="176" t="s">
        <v>845</v>
      </c>
      <c r="D791" s="36">
        <v>160</v>
      </c>
      <c r="E791" s="44"/>
      <c r="F791" s="46">
        <v>0.69</v>
      </c>
    </row>
    <row r="792" spans="2:6" x14ac:dyDescent="0.2">
      <c r="B792" s="101" t="s">
        <v>353</v>
      </c>
      <c r="C792" s="30" t="s">
        <v>1618</v>
      </c>
      <c r="D792" s="101">
        <v>150</v>
      </c>
      <c r="E792" s="183"/>
      <c r="F792" s="99">
        <f>5.31-0.575-3.09-0.77-0.22</f>
        <v>0.65499999999999958</v>
      </c>
    </row>
    <row r="793" spans="2:6" x14ac:dyDescent="0.2">
      <c r="B793" s="101" t="s">
        <v>353</v>
      </c>
      <c r="C793" s="30" t="s">
        <v>1618</v>
      </c>
      <c r="D793" s="101">
        <v>150</v>
      </c>
      <c r="E793" s="183"/>
      <c r="F793" s="99">
        <v>0.35</v>
      </c>
    </row>
    <row r="794" spans="2:6" x14ac:dyDescent="0.2">
      <c r="B794" s="101" t="s">
        <v>353</v>
      </c>
      <c r="C794" s="30" t="s">
        <v>1618</v>
      </c>
      <c r="D794" s="101" t="s">
        <v>2446</v>
      </c>
      <c r="E794" s="183"/>
      <c r="F794" s="99">
        <f>4.61-0.505-0.505+0.505-0.52-0.52-0.51-0.05</f>
        <v>2.5050000000000008</v>
      </c>
    </row>
    <row r="795" spans="2:6" x14ac:dyDescent="0.2">
      <c r="B795" s="101" t="s">
        <v>353</v>
      </c>
      <c r="C795" s="30" t="s">
        <v>1610</v>
      </c>
      <c r="D795" s="101">
        <v>130</v>
      </c>
      <c r="E795" s="25"/>
      <c r="F795" s="99">
        <v>9.5000000000000001E-2</v>
      </c>
    </row>
    <row r="796" spans="2:6" x14ac:dyDescent="0.2">
      <c r="B796" s="101" t="s">
        <v>353</v>
      </c>
      <c r="C796" s="30" t="s">
        <v>1635</v>
      </c>
      <c r="D796" s="101">
        <v>190</v>
      </c>
      <c r="E796" s="25"/>
      <c r="F796" s="99">
        <v>0.3</v>
      </c>
    </row>
    <row r="797" spans="2:6" x14ac:dyDescent="0.2">
      <c r="B797" s="36" t="s">
        <v>353</v>
      </c>
      <c r="C797" s="94" t="s">
        <v>806</v>
      </c>
      <c r="D797" s="62">
        <v>45</v>
      </c>
      <c r="E797" s="70">
        <v>3.4</v>
      </c>
      <c r="F797" s="70">
        <v>1.35</v>
      </c>
    </row>
    <row r="798" spans="2:6" x14ac:dyDescent="0.2">
      <c r="B798" s="30" t="s">
        <v>353</v>
      </c>
      <c r="C798" s="30" t="s">
        <v>359</v>
      </c>
      <c r="D798" s="30">
        <v>60</v>
      </c>
      <c r="E798" s="101" t="s">
        <v>2419</v>
      </c>
      <c r="F798" s="99">
        <f>0.742+0.702-0.742-0.012-0.05-0.342-0.024</f>
        <v>0.27399999999999985</v>
      </c>
    </row>
    <row r="799" spans="2:6" x14ac:dyDescent="0.2">
      <c r="B799" s="30" t="s">
        <v>353</v>
      </c>
      <c r="C799" s="30" t="s">
        <v>359</v>
      </c>
      <c r="D799" s="30">
        <v>80</v>
      </c>
      <c r="E799" s="101" t="s">
        <v>2420</v>
      </c>
      <c r="F799" s="99">
        <f>0.106+1.171-1.171-0.014-0.092+0.526-0.08-0.006+5.471-0.012-0.012-0.218-0.3-1.498-0.03-0.01-0.086-0.292-0.086-0.214</f>
        <v>3.1530000000000022</v>
      </c>
    </row>
    <row r="800" spans="2:6" x14ac:dyDescent="0.2">
      <c r="B800" s="30" t="s">
        <v>353</v>
      </c>
      <c r="C800" s="30" t="s">
        <v>359</v>
      </c>
      <c r="D800" s="30">
        <v>90</v>
      </c>
      <c r="E800" s="101" t="s">
        <v>2421</v>
      </c>
      <c r="F800" s="34">
        <f>2.158-0.97+1.788-0.322-0.578-0.386</f>
        <v>1.69</v>
      </c>
    </row>
    <row r="801" spans="2:6" x14ac:dyDescent="0.2">
      <c r="B801" s="30" t="s">
        <v>353</v>
      </c>
      <c r="C801" s="30" t="s">
        <v>359</v>
      </c>
      <c r="D801" s="30">
        <v>100</v>
      </c>
      <c r="E801" s="101" t="s">
        <v>2422</v>
      </c>
      <c r="F801" s="34">
        <f>2.027-2.027-0.615+3.442+1.088+0.615-1.026-0.096-0.132-0.112-0.132</f>
        <v>3.032</v>
      </c>
    </row>
    <row r="802" spans="2:6" x14ac:dyDescent="0.2">
      <c r="B802" s="30" t="s">
        <v>353</v>
      </c>
      <c r="C802" s="30" t="s">
        <v>359</v>
      </c>
      <c r="D802" s="30">
        <v>120</v>
      </c>
      <c r="E802" s="101" t="s">
        <v>2423</v>
      </c>
      <c r="F802" s="34">
        <f>1.335-0.276+0.234-0.094+1.15+2.22+1.965+2.34+2.235-0.135-0.465-0.23-1.26-0.04-2-0.275-3.15-0.88-0.05-0.275-0.215-0.45-0.062-0.28-(0.27)-(0.044)-0.092-0.54-0.22+3.856-0.188-0.14-0.094-0.206</f>
        <v>3.403999999999999</v>
      </c>
    </row>
    <row r="803" spans="2:6" x14ac:dyDescent="0.2">
      <c r="B803" s="30" t="s">
        <v>353</v>
      </c>
      <c r="C803" s="30" t="s">
        <v>359</v>
      </c>
      <c r="D803" s="30">
        <v>130</v>
      </c>
      <c r="E803" s="101">
        <v>3.58</v>
      </c>
      <c r="F803" s="34">
        <f>1.108-0.046</f>
        <v>1.0620000000000001</v>
      </c>
    </row>
    <row r="804" spans="2:6" x14ac:dyDescent="0.2">
      <c r="B804" s="30" t="s">
        <v>353</v>
      </c>
      <c r="C804" s="30" t="s">
        <v>359</v>
      </c>
      <c r="D804" s="30">
        <v>140</v>
      </c>
      <c r="E804" s="101">
        <v>4.1399999999999997</v>
      </c>
      <c r="F804" s="34">
        <f>1.066-0.356</f>
        <v>0.71000000000000008</v>
      </c>
    </row>
    <row r="805" spans="2:6" x14ac:dyDescent="0.2">
      <c r="B805" s="30" t="s">
        <v>353</v>
      </c>
      <c r="C805" s="30" t="s">
        <v>359</v>
      </c>
      <c r="D805" s="30">
        <v>150</v>
      </c>
      <c r="E805" s="101">
        <v>2</v>
      </c>
      <c r="F805" s="34">
        <f>2.736-0.256-0.286-0.376-0.144-0.018</f>
        <v>1.6560000000000006</v>
      </c>
    </row>
    <row r="806" spans="2:6" x14ac:dyDescent="0.2">
      <c r="B806" s="30" t="s">
        <v>353</v>
      </c>
      <c r="C806" s="30" t="s">
        <v>359</v>
      </c>
      <c r="D806" s="30">
        <v>180</v>
      </c>
      <c r="E806" s="101" t="s">
        <v>2424</v>
      </c>
      <c r="F806" s="34">
        <f>2.98-1.078-0.106-0.03</f>
        <v>1.7659999999999998</v>
      </c>
    </row>
    <row r="807" spans="2:6" x14ac:dyDescent="0.2">
      <c r="B807" s="30" t="s">
        <v>353</v>
      </c>
      <c r="C807" s="30" t="s">
        <v>359</v>
      </c>
      <c r="D807" s="30">
        <v>200</v>
      </c>
      <c r="E807" s="101">
        <v>4.68</v>
      </c>
      <c r="F807" s="34">
        <f>3.688-0.436-0.26-1.408</f>
        <v>1.5840000000000001</v>
      </c>
    </row>
    <row r="808" spans="2:6" x14ac:dyDescent="0.2">
      <c r="B808" s="30" t="s">
        <v>353</v>
      </c>
      <c r="C808" s="30" t="s">
        <v>359</v>
      </c>
      <c r="D808" s="30">
        <v>230</v>
      </c>
      <c r="E808" s="101">
        <v>1.1399999999999999</v>
      </c>
      <c r="F808" s="99">
        <f>3-0.17-1.122-0.598-0.674-0.05</f>
        <v>0.38599999999999984</v>
      </c>
    </row>
    <row r="809" spans="2:6" x14ac:dyDescent="0.2">
      <c r="B809" s="30" t="s">
        <v>353</v>
      </c>
      <c r="C809" s="30" t="s">
        <v>359</v>
      </c>
      <c r="D809" s="30" t="s">
        <v>2612</v>
      </c>
      <c r="E809" s="101"/>
      <c r="F809" s="99">
        <v>0.34399999999999997</v>
      </c>
    </row>
    <row r="810" spans="2:6" x14ac:dyDescent="0.2">
      <c r="B810" s="101" t="s">
        <v>353</v>
      </c>
      <c r="C810" s="30" t="s">
        <v>1584</v>
      </c>
      <c r="D810" s="101">
        <v>80</v>
      </c>
      <c r="E810" s="183"/>
      <c r="F810" s="99">
        <f>0.37-0.24</f>
        <v>0.13</v>
      </c>
    </row>
    <row r="811" spans="2:6" x14ac:dyDescent="0.2">
      <c r="B811" s="101" t="s">
        <v>353</v>
      </c>
      <c r="C811" s="30" t="s">
        <v>1584</v>
      </c>
      <c r="D811" s="101" t="s">
        <v>1602</v>
      </c>
      <c r="E811" s="25"/>
      <c r="F811" s="99">
        <f>0.9-0.21</f>
        <v>0.69000000000000006</v>
      </c>
    </row>
    <row r="812" spans="2:6" x14ac:dyDescent="0.2">
      <c r="B812" s="36" t="s">
        <v>353</v>
      </c>
      <c r="C812" s="176" t="s">
        <v>323</v>
      </c>
      <c r="D812" s="36">
        <v>25</v>
      </c>
      <c r="E812" s="44">
        <v>3</v>
      </c>
      <c r="F812" s="45">
        <v>1.51</v>
      </c>
    </row>
    <row r="813" spans="2:6" x14ac:dyDescent="0.2">
      <c r="B813" s="30" t="s">
        <v>353</v>
      </c>
      <c r="C813" s="30" t="s">
        <v>323</v>
      </c>
      <c r="D813" s="30">
        <v>40</v>
      </c>
      <c r="E813" s="101" t="s">
        <v>640</v>
      </c>
      <c r="F813" s="99">
        <f>1.748+0.448+0.774-0.01-0.192-0.086-0.062-0.114-0.114-0.114-0.2-0.395-0.04</f>
        <v>1.6430000000000007</v>
      </c>
    </row>
    <row r="814" spans="2:6" x14ac:dyDescent="0.2">
      <c r="B814" s="30" t="s">
        <v>353</v>
      </c>
      <c r="C814" s="30" t="s">
        <v>323</v>
      </c>
      <c r="D814" s="30">
        <v>80</v>
      </c>
      <c r="E814" s="101" t="s">
        <v>2696</v>
      </c>
      <c r="F814" s="99">
        <f>0.738-0.12-0.245-0.245+0.63-0.056</f>
        <v>0.70199999999999996</v>
      </c>
    </row>
    <row r="815" spans="2:6" x14ac:dyDescent="0.2">
      <c r="B815" s="30" t="s">
        <v>353</v>
      </c>
      <c r="C815" s="30" t="s">
        <v>323</v>
      </c>
      <c r="D815" s="30">
        <v>90</v>
      </c>
      <c r="E815" s="101" t="s">
        <v>2697</v>
      </c>
      <c r="F815" s="99">
        <v>0.6</v>
      </c>
    </row>
    <row r="816" spans="2:6" x14ac:dyDescent="0.2">
      <c r="B816" s="30" t="s">
        <v>353</v>
      </c>
      <c r="C816" s="30" t="s">
        <v>323</v>
      </c>
      <c r="D816" s="30">
        <v>120</v>
      </c>
      <c r="E816" s="101">
        <v>3.98</v>
      </c>
      <c r="F816" s="99">
        <f>0.426+0.172-0.062-0.006</f>
        <v>0.53</v>
      </c>
    </row>
    <row r="817" spans="2:6" x14ac:dyDescent="0.2">
      <c r="B817" s="101" t="s">
        <v>353</v>
      </c>
      <c r="C817" s="30" t="s">
        <v>1557</v>
      </c>
      <c r="D817" s="101">
        <v>40</v>
      </c>
      <c r="E817" s="183"/>
      <c r="F817" s="99">
        <f>0.88-0.035</f>
        <v>0.84499999999999997</v>
      </c>
    </row>
    <row r="818" spans="2:6" x14ac:dyDescent="0.2">
      <c r="B818" s="101" t="s">
        <v>353</v>
      </c>
      <c r="C818" s="30" t="s">
        <v>1557</v>
      </c>
      <c r="D818" s="101">
        <v>41</v>
      </c>
      <c r="E818" s="101"/>
      <c r="F818" s="99">
        <v>0.04</v>
      </c>
    </row>
    <row r="819" spans="2:6" x14ac:dyDescent="0.2">
      <c r="B819" s="101" t="s">
        <v>353</v>
      </c>
      <c r="C819" s="30" t="s">
        <v>1557</v>
      </c>
      <c r="D819" s="101">
        <v>150</v>
      </c>
      <c r="E819" s="25"/>
      <c r="F819" s="99">
        <v>0.45500000000000002</v>
      </c>
    </row>
    <row r="820" spans="2:6" x14ac:dyDescent="0.2">
      <c r="B820" s="30" t="s">
        <v>353</v>
      </c>
      <c r="C820" s="30" t="s">
        <v>821</v>
      </c>
      <c r="D820" s="30">
        <v>20</v>
      </c>
      <c r="E820" s="101" t="s">
        <v>2700</v>
      </c>
      <c r="F820" s="99">
        <v>0.16800000000000001</v>
      </c>
    </row>
    <row r="821" spans="2:6" x14ac:dyDescent="0.2">
      <c r="B821" s="30" t="s">
        <v>353</v>
      </c>
      <c r="C821" s="30" t="s">
        <v>821</v>
      </c>
      <c r="D821" s="30">
        <v>45</v>
      </c>
      <c r="E821" s="101">
        <v>3.1</v>
      </c>
      <c r="F821" s="99">
        <f>1.04-0.076-0.268-0.042</f>
        <v>0.65400000000000003</v>
      </c>
    </row>
    <row r="822" spans="2:6" x14ac:dyDescent="0.2">
      <c r="B822" s="30" t="s">
        <v>353</v>
      </c>
      <c r="C822" s="30" t="s">
        <v>821</v>
      </c>
      <c r="D822" s="30">
        <v>60</v>
      </c>
      <c r="E822" s="101">
        <v>4.0999999999999996</v>
      </c>
      <c r="F822" s="99">
        <v>0.18</v>
      </c>
    </row>
    <row r="823" spans="2:6" x14ac:dyDescent="0.2">
      <c r="B823" s="30" t="s">
        <v>353</v>
      </c>
      <c r="C823" s="30" t="s">
        <v>821</v>
      </c>
      <c r="D823" s="30">
        <v>70</v>
      </c>
      <c r="E823" s="101" t="s">
        <v>2701</v>
      </c>
      <c r="F823" s="99">
        <f>1.601-0.255-0.125-0.255-0.032-0.126-0.255-0.1-0.14-0.128-0.002-0.012</f>
        <v>0.17100000000000004</v>
      </c>
    </row>
    <row r="824" spans="2:6" x14ac:dyDescent="0.2">
      <c r="B824" s="30" t="s">
        <v>353</v>
      </c>
      <c r="C824" s="30" t="s">
        <v>821</v>
      </c>
      <c r="D824" s="30">
        <v>85</v>
      </c>
      <c r="E824" s="101" t="s">
        <v>2702</v>
      </c>
      <c r="F824" s="99">
        <f>0.976-0.145-0.09-0.286-0.048</f>
        <v>0.40700000000000003</v>
      </c>
    </row>
    <row r="825" spans="2:6" x14ac:dyDescent="0.2">
      <c r="B825" s="30" t="s">
        <v>353</v>
      </c>
      <c r="C825" s="30" t="s">
        <v>821</v>
      </c>
      <c r="D825" s="30">
        <v>95</v>
      </c>
      <c r="E825" s="101">
        <v>3.2</v>
      </c>
      <c r="F825" s="99">
        <f>0.976-0.06-0.786</f>
        <v>0.12999999999999989</v>
      </c>
    </row>
    <row r="826" spans="2:6" x14ac:dyDescent="0.2">
      <c r="B826" s="30" t="s">
        <v>353</v>
      </c>
      <c r="C826" s="30" t="s">
        <v>821</v>
      </c>
      <c r="D826" s="30">
        <v>100</v>
      </c>
      <c r="E826" s="101">
        <v>3.3</v>
      </c>
      <c r="F826" s="99">
        <f>1.886-0.034-0.108-0.33-0.256-0.13-(0.029)</f>
        <v>0.99899999999999956</v>
      </c>
    </row>
    <row r="827" spans="2:6" x14ac:dyDescent="0.2">
      <c r="B827" s="101" t="s">
        <v>353</v>
      </c>
      <c r="C827" s="30" t="s">
        <v>821</v>
      </c>
      <c r="D827" s="101">
        <v>205</v>
      </c>
      <c r="E827" s="183"/>
      <c r="F827" s="99">
        <f>1.71+0.31</f>
        <v>2.02</v>
      </c>
    </row>
    <row r="828" spans="2:6" x14ac:dyDescent="0.2">
      <c r="B828" s="36" t="s">
        <v>353</v>
      </c>
      <c r="C828" s="176" t="s">
        <v>686</v>
      </c>
      <c r="D828" s="36">
        <v>30</v>
      </c>
      <c r="E828" s="44" t="s">
        <v>807</v>
      </c>
      <c r="F828" s="46">
        <v>0.56999999999999995</v>
      </c>
    </row>
    <row r="829" spans="2:6" x14ac:dyDescent="0.2">
      <c r="B829" s="36" t="s">
        <v>353</v>
      </c>
      <c r="C829" s="176" t="s">
        <v>686</v>
      </c>
      <c r="D829" s="36">
        <v>40</v>
      </c>
      <c r="E829" s="44">
        <v>3.8</v>
      </c>
      <c r="F829" s="46">
        <v>0.41</v>
      </c>
    </row>
    <row r="830" spans="2:6" x14ac:dyDescent="0.2">
      <c r="B830" s="36" t="s">
        <v>353</v>
      </c>
      <c r="C830" s="176" t="s">
        <v>686</v>
      </c>
      <c r="D830" s="36">
        <v>115</v>
      </c>
      <c r="E830" s="44" t="s">
        <v>808</v>
      </c>
      <c r="F830" s="46">
        <v>0.98</v>
      </c>
    </row>
    <row r="831" spans="2:6" x14ac:dyDescent="0.2">
      <c r="B831" s="36" t="s">
        <v>353</v>
      </c>
      <c r="C831" s="176" t="s">
        <v>686</v>
      </c>
      <c r="D831" s="36">
        <v>125</v>
      </c>
      <c r="E831" s="44" t="s">
        <v>808</v>
      </c>
      <c r="F831" s="46">
        <v>0.32</v>
      </c>
    </row>
    <row r="832" spans="2:6" x14ac:dyDescent="0.2">
      <c r="B832" s="30" t="s">
        <v>353</v>
      </c>
      <c r="C832" s="30" t="s">
        <v>686</v>
      </c>
      <c r="D832" s="30">
        <v>20</v>
      </c>
      <c r="E832" s="101" t="s">
        <v>2703</v>
      </c>
      <c r="F832" s="34">
        <f>0.146-0.022-0.044-0.055+0.032-0.032-0.005-0.01-0.025+(0.015)+0.39-0.012-0.012-0.012-0.012-0.094-0.038-0.036+1.26-0.01-0.002-0.05-0.01-0.1-0.034-0.012-0.116-0.006-0.304-0.01-0.002-0.004-0.01-0.024-0.012-0.048-0.012-0.012</f>
        <v>0.65599999999999947</v>
      </c>
    </row>
    <row r="833" spans="2:6" x14ac:dyDescent="0.2">
      <c r="B833" s="30" t="s">
        <v>353</v>
      </c>
      <c r="C833" s="30" t="s">
        <v>686</v>
      </c>
      <c r="D833" s="30">
        <v>40</v>
      </c>
      <c r="E833" s="101" t="s">
        <v>2704</v>
      </c>
      <c r="F833" s="99">
        <f>0.446-0.4</f>
        <v>4.5999999999999985E-2</v>
      </c>
    </row>
    <row r="834" spans="2:6" x14ac:dyDescent="0.2">
      <c r="B834" s="30" t="s">
        <v>353</v>
      </c>
      <c r="C834" s="30" t="s">
        <v>686</v>
      </c>
      <c r="D834" s="30">
        <v>45</v>
      </c>
      <c r="E834" s="101">
        <v>5.0999999999999996</v>
      </c>
      <c r="F834" s="99">
        <f>0.38-0.04-0.075+0.69-0.012-0.308-0.01-0.38-0.026-0.012-0.024</f>
        <v>0.183</v>
      </c>
    </row>
    <row r="835" spans="2:6" x14ac:dyDescent="0.2">
      <c r="B835" s="30" t="s">
        <v>353</v>
      </c>
      <c r="C835" s="30" t="s">
        <v>686</v>
      </c>
      <c r="D835" s="30">
        <v>60</v>
      </c>
      <c r="E835" s="101" t="s">
        <v>642</v>
      </c>
      <c r="F835" s="34">
        <f>0.09-0.044-0.046+0.87-0.004-0.224-0.11-0.012-0.056-0.05-0.09-0.132-0.022+2.24-0.01-0.112+0.292-0.044-2.136-0.022+2.45-0.067-0.104-0.022-0.022-0.114-0.09-0.164-0.034-0.022-0.06-0.01-0.11-1.096</f>
        <v>0.91300000000000114</v>
      </c>
    </row>
    <row r="836" spans="2:6" x14ac:dyDescent="0.2">
      <c r="B836" s="30" t="s">
        <v>353</v>
      </c>
      <c r="C836" s="30" t="s">
        <v>686</v>
      </c>
      <c r="D836" s="30" t="s">
        <v>2615</v>
      </c>
      <c r="E836" s="101" t="s">
        <v>2705</v>
      </c>
      <c r="F836" s="34">
        <f>2.388-0.145-0.275-0.008-0.115-0.066-0.066-0.024-0.008-0.034-0.132-0.248-0.068-0.246-0.004-0.028-0.138</f>
        <v>0.78299999999999959</v>
      </c>
    </row>
    <row r="837" spans="2:6" x14ac:dyDescent="0.2">
      <c r="B837" s="30" t="s">
        <v>353</v>
      </c>
      <c r="C837" s="30" t="s">
        <v>686</v>
      </c>
      <c r="D837" s="30">
        <v>80</v>
      </c>
      <c r="E837" s="101">
        <v>5.7</v>
      </c>
      <c r="F837" s="34">
        <f>2.86-0.446-0.674-0.038-0.02-0.04-0.204-0.114</f>
        <v>1.3239999999999996</v>
      </c>
    </row>
    <row r="838" spans="2:6" x14ac:dyDescent="0.2">
      <c r="B838" s="30" t="s">
        <v>353</v>
      </c>
      <c r="C838" s="30" t="s">
        <v>686</v>
      </c>
      <c r="D838" s="30">
        <v>90</v>
      </c>
      <c r="E838" s="101" t="s">
        <v>2706</v>
      </c>
      <c r="F838" s="34">
        <f>2-0.214-0.004-0.026-0.05-0.05-0.232-0.012-0.466-0.158-0.028+1.54-0.024-0.216-0.216-0.026-0.38</f>
        <v>1.4379999999999997</v>
      </c>
    </row>
    <row r="839" spans="2:6" x14ac:dyDescent="0.2">
      <c r="B839" s="30" t="s">
        <v>353</v>
      </c>
      <c r="C839" s="30" t="s">
        <v>686</v>
      </c>
      <c r="D839" s="30">
        <v>100</v>
      </c>
      <c r="E839" s="101" t="s">
        <v>643</v>
      </c>
      <c r="F839" s="34">
        <f>2.4-0.6-1.078-0.152-0.122-0.028</f>
        <v>0.41999999999999971</v>
      </c>
    </row>
    <row r="840" spans="2:6" x14ac:dyDescent="0.2">
      <c r="B840" s="30" t="s">
        <v>353</v>
      </c>
      <c r="C840" s="30" t="s">
        <v>686</v>
      </c>
      <c r="D840" s="30">
        <v>105</v>
      </c>
      <c r="E840" s="101">
        <v>2.61</v>
      </c>
      <c r="F840" s="34">
        <v>0.17799999999999999</v>
      </c>
    </row>
    <row r="841" spans="2:6" x14ac:dyDescent="0.2">
      <c r="B841" s="30" t="s">
        <v>353</v>
      </c>
      <c r="C841" s="30" t="s">
        <v>686</v>
      </c>
      <c r="D841" s="30">
        <v>110</v>
      </c>
      <c r="E841" s="101"/>
      <c r="F841" s="180"/>
    </row>
    <row r="842" spans="2:6" x14ac:dyDescent="0.2">
      <c r="B842" s="30" t="s">
        <v>353</v>
      </c>
      <c r="C842" s="30" t="s">
        <v>686</v>
      </c>
      <c r="D842" s="30">
        <v>120</v>
      </c>
      <c r="E842" s="101" t="s">
        <v>2707</v>
      </c>
      <c r="F842" s="34">
        <f>2.84-0.124+2.22-0.664-0.046-0.054-0.004-0.044-0.01-0.958-0.02-0.042-0.274-0.682+3.15-1.578-0.632-0.012-0.316-0.088-0.63-0.732-0.176-0.832-0.15-0.112+2.33-0.126-2.402+(0.168)+2.32</f>
        <v>2.3200000000000003</v>
      </c>
    </row>
    <row r="843" spans="2:6" x14ac:dyDescent="0.2">
      <c r="B843" s="30" t="s">
        <v>353</v>
      </c>
      <c r="C843" s="30" t="s">
        <v>686</v>
      </c>
      <c r="D843" s="30">
        <v>140</v>
      </c>
      <c r="E843" s="101"/>
      <c r="F843" s="180"/>
    </row>
    <row r="844" spans="2:6" x14ac:dyDescent="0.2">
      <c r="B844" s="30" t="s">
        <v>353</v>
      </c>
      <c r="C844" s="30" t="s">
        <v>686</v>
      </c>
      <c r="D844" s="30">
        <v>150</v>
      </c>
      <c r="E844" s="101">
        <v>3.66</v>
      </c>
      <c r="F844" s="34">
        <f>1.53-0.07-0.14-0.066</f>
        <v>1.2539999999999998</v>
      </c>
    </row>
    <row r="845" spans="2:6" x14ac:dyDescent="0.2">
      <c r="B845" s="30" t="s">
        <v>353</v>
      </c>
      <c r="C845" s="30" t="s">
        <v>686</v>
      </c>
      <c r="D845" s="30">
        <v>160</v>
      </c>
      <c r="E845" s="101" t="s">
        <v>2708</v>
      </c>
      <c r="F845" s="34">
        <f>3.94-0.158-0.05-0.066-0.076-0.324-0.318-0.254-0.08-0.12-0.018-0.064-0.236-0.026-0.932-0.02</f>
        <v>1.1980000000000004</v>
      </c>
    </row>
    <row r="846" spans="2:6" x14ac:dyDescent="0.2">
      <c r="B846" s="30" t="s">
        <v>353</v>
      </c>
      <c r="C846" s="30" t="s">
        <v>686</v>
      </c>
      <c r="D846" s="30">
        <v>170</v>
      </c>
      <c r="E846" s="101">
        <v>4.3</v>
      </c>
      <c r="F846" s="34">
        <f>3.89-0.556-0.024-0.128-0.356-0.18-0.09-0.56-0.558-0.09-0.606+2.91-0.122-0.01-0.748</f>
        <v>2.7720000000000002</v>
      </c>
    </row>
    <row r="847" spans="2:6" x14ac:dyDescent="0.2">
      <c r="B847" s="30" t="s">
        <v>353</v>
      </c>
      <c r="C847" s="30" t="s">
        <v>686</v>
      </c>
      <c r="D847" s="30">
        <v>180</v>
      </c>
      <c r="E847" s="101" t="s">
        <v>2709</v>
      </c>
      <c r="F847" s="99">
        <f>0.843-0.38+1.635-1.635-0.463+(0.463)-0.22+3.85-0.12-3.85+4.35-0.102-3.58-0.791+4.24-0.198-0.198-0.79-0.038-0.198-0.552-0.296-0.102-1.178+2.876-0.656-0.29-0.426-0.068-0.06+(0.103)-0.102-0.822-0.034-0.546-0.24-0.142+3.02-0.028-0.4-0.022-0.098-0.034-0.092-0.254-0.748-1.49-0.084+0.432+3.92-0.55-0.294-0.072-0.03-0.292-0.03-0.03-1.12-0.054-0.08-1.13+(-0.723+0.868+1.788+0.834)-0.565+0.57+1.656-0.018-0.078-0.204-0.202-0.198+(0.501)-0.548-0.198-0.198+0.974+0.964+0.36-0.03-0.355-1.776-0.628-0.1-0.084-0.1-0.608-0.056-0.38-0.034-0.054-0.73</f>
        <v>1.3709999999999978</v>
      </c>
    </row>
    <row r="848" spans="2:6" x14ac:dyDescent="0.2">
      <c r="B848" s="30" t="s">
        <v>353</v>
      </c>
      <c r="C848" s="30" t="s">
        <v>686</v>
      </c>
      <c r="D848" s="30">
        <v>190</v>
      </c>
      <c r="E848" s="101" t="s">
        <v>2710</v>
      </c>
      <c r="F848" s="34">
        <f>3.73-1.868-0.046+3.83-1.956+(1.866)-0.032-0.642-0.02-0.034</f>
        <v>4.8280000000000003</v>
      </c>
    </row>
    <row r="849" spans="2:6" x14ac:dyDescent="0.2">
      <c r="B849" s="30" t="s">
        <v>353</v>
      </c>
      <c r="C849" s="30" t="s">
        <v>686</v>
      </c>
      <c r="D849" s="30">
        <v>200</v>
      </c>
      <c r="E849" s="101">
        <v>3.1</v>
      </c>
      <c r="F849" s="34">
        <f>2.95-0.012-1.484-0.222-0.05-0.734-0.05+2.98</f>
        <v>3.3780000000000001</v>
      </c>
    </row>
    <row r="850" spans="2:6" x14ac:dyDescent="0.2">
      <c r="B850" s="30" t="s">
        <v>353</v>
      </c>
      <c r="C850" s="30" t="s">
        <v>686</v>
      </c>
      <c r="D850" s="30">
        <v>210</v>
      </c>
      <c r="E850" s="101" t="s">
        <v>2711</v>
      </c>
      <c r="F850" s="99">
        <f>2.94-0.736+2.78-0.734-0.738-0.74-0.016-0.738-0.676-0.676+3.45-0.122</f>
        <v>3.9940000000000007</v>
      </c>
    </row>
    <row r="851" spans="2:6" x14ac:dyDescent="0.2">
      <c r="B851" s="30" t="s">
        <v>353</v>
      </c>
      <c r="C851" s="30" t="s">
        <v>686</v>
      </c>
      <c r="D851" s="30">
        <v>220</v>
      </c>
      <c r="E851" s="101"/>
      <c r="F851" s="180"/>
    </row>
    <row r="852" spans="2:6" x14ac:dyDescent="0.2">
      <c r="B852" s="30" t="s">
        <v>353</v>
      </c>
      <c r="C852" s="30" t="s">
        <v>686</v>
      </c>
      <c r="D852" s="30">
        <v>230</v>
      </c>
      <c r="E852" s="101">
        <v>2.11</v>
      </c>
      <c r="F852" s="99">
        <f>3.35-0.324-0.124-0.082-0.636-0.136-0.246</f>
        <v>1.802</v>
      </c>
    </row>
    <row r="853" spans="2:6" x14ac:dyDescent="0.2">
      <c r="B853" s="30" t="s">
        <v>353</v>
      </c>
      <c r="C853" s="30" t="s">
        <v>686</v>
      </c>
      <c r="D853" s="30">
        <v>250</v>
      </c>
      <c r="E853" s="101"/>
      <c r="F853" s="180" t="s">
        <v>1161</v>
      </c>
    </row>
    <row r="854" spans="2:6" x14ac:dyDescent="0.2">
      <c r="B854" s="30" t="s">
        <v>353</v>
      </c>
      <c r="C854" s="30" t="s">
        <v>686</v>
      </c>
      <c r="D854" s="30" t="s">
        <v>1638</v>
      </c>
      <c r="E854" s="101">
        <v>1.85</v>
      </c>
      <c r="F854" s="99">
        <f>(0.49)</f>
        <v>0.49</v>
      </c>
    </row>
    <row r="855" spans="2:6" x14ac:dyDescent="0.2">
      <c r="B855" s="30" t="s">
        <v>353</v>
      </c>
      <c r="C855" s="30" t="s">
        <v>686</v>
      </c>
      <c r="D855" s="30" t="s">
        <v>2640</v>
      </c>
      <c r="E855" s="101">
        <v>1.2</v>
      </c>
      <c r="F855" s="99">
        <v>0.33800000000000002</v>
      </c>
    </row>
    <row r="856" spans="2:6" x14ac:dyDescent="0.2">
      <c r="B856" s="30" t="s">
        <v>353</v>
      </c>
      <c r="C856" s="30" t="s">
        <v>686</v>
      </c>
      <c r="D856" s="30" t="s">
        <v>2455</v>
      </c>
      <c r="E856" s="101">
        <v>1.85</v>
      </c>
      <c r="F856" s="99">
        <f>(1.678)-0.558-0.548+(0.376+0.548+0.166)</f>
        <v>1.6619999999999999</v>
      </c>
    </row>
    <row r="857" spans="2:6" x14ac:dyDescent="0.2">
      <c r="B857" s="30" t="s">
        <v>353</v>
      </c>
      <c r="C857" s="30" t="s">
        <v>686</v>
      </c>
      <c r="D857" s="30" t="s">
        <v>362</v>
      </c>
      <c r="E857" s="101"/>
      <c r="F857" s="34">
        <v>0.112</v>
      </c>
    </row>
    <row r="858" spans="2:6" x14ac:dyDescent="0.2">
      <c r="B858" s="30" t="s">
        <v>353</v>
      </c>
      <c r="C858" s="30" t="s">
        <v>686</v>
      </c>
      <c r="D858" s="30" t="s">
        <v>363</v>
      </c>
      <c r="E858" s="101"/>
      <c r="F858" s="34">
        <f>0.386+0.124+0.508</f>
        <v>1.018</v>
      </c>
    </row>
    <row r="859" spans="2:6" x14ac:dyDescent="0.2">
      <c r="B859" s="101" t="s">
        <v>353</v>
      </c>
      <c r="C859" s="30" t="s">
        <v>686</v>
      </c>
      <c r="D859" s="101">
        <v>50</v>
      </c>
      <c r="E859" s="25"/>
      <c r="F859" s="99">
        <f>1.325+2.055-2.055+1.26-0.18-0.05-0.215-0.17-0.035-0.065-0.05</f>
        <v>1.8200000000000003</v>
      </c>
    </row>
    <row r="860" spans="2:6" x14ac:dyDescent="0.2">
      <c r="B860" s="101" t="s">
        <v>353</v>
      </c>
      <c r="C860" s="30" t="s">
        <v>686</v>
      </c>
      <c r="D860" s="101">
        <v>65</v>
      </c>
      <c r="E860" s="25"/>
      <c r="F860" s="99">
        <f>0.37-0.07-0.06-0.06</f>
        <v>0.18</v>
      </c>
    </row>
    <row r="861" spans="2:6" x14ac:dyDescent="0.2">
      <c r="B861" s="101" t="s">
        <v>353</v>
      </c>
      <c r="C861" s="30" t="s">
        <v>686</v>
      </c>
      <c r="D861" s="101">
        <v>90</v>
      </c>
      <c r="E861" s="25"/>
      <c r="F861" s="99">
        <f>3.29-0.23</f>
        <v>3.06</v>
      </c>
    </row>
    <row r="862" spans="2:6" x14ac:dyDescent="0.2">
      <c r="B862" s="101" t="s">
        <v>353</v>
      </c>
      <c r="C862" s="30" t="s">
        <v>686</v>
      </c>
      <c r="D862" s="101">
        <v>150</v>
      </c>
      <c r="E862" s="25"/>
      <c r="F862" s="99">
        <v>1.2</v>
      </c>
    </row>
    <row r="863" spans="2:6" x14ac:dyDescent="0.2">
      <c r="B863" s="101" t="s">
        <v>353</v>
      </c>
      <c r="C863" s="30" t="s">
        <v>686</v>
      </c>
      <c r="D863" s="101">
        <v>160</v>
      </c>
      <c r="E863" s="183"/>
      <c r="F863" s="99">
        <f>2.97-0.49-1</f>
        <v>1.4800000000000004</v>
      </c>
    </row>
    <row r="864" spans="2:6" x14ac:dyDescent="0.2">
      <c r="B864" s="101" t="s">
        <v>353</v>
      </c>
      <c r="C864" s="30" t="s">
        <v>686</v>
      </c>
      <c r="D864" s="101">
        <v>260</v>
      </c>
      <c r="E864" s="25"/>
      <c r="F864" s="99">
        <v>2.42</v>
      </c>
    </row>
    <row r="865" spans="2:6" x14ac:dyDescent="0.2">
      <c r="B865" s="36" t="s">
        <v>353</v>
      </c>
      <c r="C865" s="174" t="s">
        <v>803</v>
      </c>
      <c r="D865" s="36">
        <v>50</v>
      </c>
      <c r="E865" s="70">
        <v>3.5</v>
      </c>
      <c r="F865" s="70">
        <v>0.12</v>
      </c>
    </row>
    <row r="866" spans="2:6" x14ac:dyDescent="0.2">
      <c r="B866" s="30" t="s">
        <v>353</v>
      </c>
      <c r="C866" s="30" t="s">
        <v>364</v>
      </c>
      <c r="D866" s="30">
        <v>175</v>
      </c>
      <c r="E866" s="101">
        <v>2.4</v>
      </c>
      <c r="F866" s="99">
        <v>0.47</v>
      </c>
    </row>
    <row r="867" spans="2:6" x14ac:dyDescent="0.2">
      <c r="B867" s="4" t="s">
        <v>353</v>
      </c>
      <c r="C867" s="176" t="s">
        <v>576</v>
      </c>
      <c r="D867" s="36">
        <v>18</v>
      </c>
      <c r="E867" s="44">
        <v>3</v>
      </c>
      <c r="F867" s="45">
        <v>1.55</v>
      </c>
    </row>
    <row r="868" spans="2:6" x14ac:dyDescent="0.2">
      <c r="B868" s="101" t="s">
        <v>353</v>
      </c>
      <c r="C868" s="30" t="s">
        <v>576</v>
      </c>
      <c r="D868" s="101">
        <v>45</v>
      </c>
      <c r="E868" s="25"/>
      <c r="F868" s="99">
        <f>1.51+2.4+1.45-0.09-0.49-0.64-0.48-0.05-0.82+0.33-1.21-0.1-0.045-0.63-0.06-0.05-0.09-0.1</f>
        <v>0.83500000000000107</v>
      </c>
    </row>
    <row r="869" spans="2:6" x14ac:dyDescent="0.2">
      <c r="B869" s="101" t="s">
        <v>353</v>
      </c>
      <c r="C869" s="30" t="s">
        <v>1565</v>
      </c>
      <c r="D869" s="101">
        <v>56</v>
      </c>
      <c r="E869" s="25"/>
      <c r="F869" s="99">
        <f>4.33-1.66-0.33</f>
        <v>2.34</v>
      </c>
    </row>
    <row r="870" spans="2:6" x14ac:dyDescent="0.2">
      <c r="B870" s="101" t="s">
        <v>353</v>
      </c>
      <c r="C870" s="30" t="s">
        <v>1565</v>
      </c>
      <c r="D870" s="101">
        <v>90</v>
      </c>
      <c r="E870" s="183"/>
      <c r="F870" s="99">
        <v>16.37</v>
      </c>
    </row>
    <row r="871" spans="2:6" x14ac:dyDescent="0.2">
      <c r="B871" s="101" t="s">
        <v>353</v>
      </c>
      <c r="C871" s="30" t="s">
        <v>1588</v>
      </c>
      <c r="D871" s="101">
        <v>90</v>
      </c>
      <c r="E871" s="25"/>
      <c r="F871" s="99">
        <v>6.6</v>
      </c>
    </row>
    <row r="872" spans="2:6" x14ac:dyDescent="0.2">
      <c r="B872" s="101" t="s">
        <v>353</v>
      </c>
      <c r="C872" s="30" t="s">
        <v>1588</v>
      </c>
      <c r="D872" s="101">
        <v>120</v>
      </c>
      <c r="E872" s="183"/>
      <c r="F872" s="99">
        <f>1.54-0.52-0.21-0.09</f>
        <v>0.72000000000000008</v>
      </c>
    </row>
    <row r="873" spans="2:6" x14ac:dyDescent="0.2">
      <c r="B873" s="101" t="s">
        <v>353</v>
      </c>
      <c r="C873" s="30" t="s">
        <v>714</v>
      </c>
      <c r="D873" s="101">
        <v>210</v>
      </c>
      <c r="E873" s="25"/>
      <c r="F873" s="99">
        <v>0.30499999999999999</v>
      </c>
    </row>
    <row r="874" spans="2:6" x14ac:dyDescent="0.2">
      <c r="B874" s="30" t="s">
        <v>353</v>
      </c>
      <c r="C874" s="30" t="s">
        <v>365</v>
      </c>
      <c r="D874" s="30">
        <v>40</v>
      </c>
      <c r="E874" s="101">
        <v>3</v>
      </c>
      <c r="F874" s="99">
        <f>0.386-0.05+(0.05)-0.06-(0.12)</f>
        <v>0.20600000000000002</v>
      </c>
    </row>
    <row r="875" spans="2:6" x14ac:dyDescent="0.2">
      <c r="B875" s="36" t="s">
        <v>353</v>
      </c>
      <c r="C875" s="176" t="s">
        <v>390</v>
      </c>
      <c r="D875" s="36">
        <v>20</v>
      </c>
      <c r="E875" s="44"/>
      <c r="F875" s="46">
        <v>1.81</v>
      </c>
    </row>
    <row r="876" spans="2:6" x14ac:dyDescent="0.2">
      <c r="B876" s="36" t="s">
        <v>353</v>
      </c>
      <c r="C876" s="176" t="s">
        <v>390</v>
      </c>
      <c r="D876" s="36">
        <v>100</v>
      </c>
      <c r="E876" s="44">
        <v>2.5</v>
      </c>
      <c r="F876" s="45">
        <v>0.16</v>
      </c>
    </row>
    <row r="877" spans="2:6" x14ac:dyDescent="0.2">
      <c r="B877" s="36" t="s">
        <v>353</v>
      </c>
      <c r="C877" s="176" t="s">
        <v>390</v>
      </c>
      <c r="D877" s="36">
        <v>150</v>
      </c>
      <c r="E877" s="44">
        <v>2.5</v>
      </c>
      <c r="F877" s="46">
        <v>0.32</v>
      </c>
    </row>
    <row r="878" spans="2:6" x14ac:dyDescent="0.2">
      <c r="B878" s="30" t="s">
        <v>353</v>
      </c>
      <c r="C878" s="30" t="s">
        <v>390</v>
      </c>
      <c r="D878" s="30">
        <v>55</v>
      </c>
      <c r="E878" s="101"/>
      <c r="F878" s="99">
        <f>0.118-0.058</f>
        <v>5.9999999999999991E-2</v>
      </c>
    </row>
    <row r="879" spans="2:6" x14ac:dyDescent="0.2">
      <c r="B879" s="30" t="s">
        <v>353</v>
      </c>
      <c r="C879" s="30" t="s">
        <v>390</v>
      </c>
      <c r="D879" s="30">
        <v>120</v>
      </c>
      <c r="E879" s="101"/>
      <c r="F879" s="34">
        <f>0.246-0.048-0.09</f>
        <v>0.10800000000000001</v>
      </c>
    </row>
    <row r="880" spans="2:6" x14ac:dyDescent="0.2">
      <c r="B880" s="101" t="s">
        <v>353</v>
      </c>
      <c r="C880" s="30" t="s">
        <v>390</v>
      </c>
      <c r="D880" s="101">
        <v>18</v>
      </c>
      <c r="E880" s="25"/>
      <c r="F880" s="99">
        <v>1.31</v>
      </c>
    </row>
    <row r="881" spans="2:6" x14ac:dyDescent="0.2">
      <c r="B881" s="101" t="s">
        <v>353</v>
      </c>
      <c r="C881" s="30" t="s">
        <v>390</v>
      </c>
      <c r="D881" s="101">
        <v>25</v>
      </c>
      <c r="E881" s="183"/>
      <c r="F881" s="99">
        <f>0.08-0.03-0.015-0.015</f>
        <v>2.0000000000000004E-2</v>
      </c>
    </row>
    <row r="882" spans="2:6" x14ac:dyDescent="0.2">
      <c r="B882" s="101" t="s">
        <v>353</v>
      </c>
      <c r="C882" s="30" t="s">
        <v>390</v>
      </c>
      <c r="D882" s="101">
        <v>40</v>
      </c>
      <c r="E882" s="25"/>
      <c r="F882" s="99">
        <f>1.63-0.4-0.24-0.5-0.155-0.06</f>
        <v>0.27499999999999997</v>
      </c>
    </row>
    <row r="883" spans="2:6" x14ac:dyDescent="0.2">
      <c r="B883" s="101" t="s">
        <v>353</v>
      </c>
      <c r="C883" s="30" t="s">
        <v>390</v>
      </c>
      <c r="D883" s="101">
        <v>100</v>
      </c>
      <c r="E883" s="25"/>
      <c r="F883" s="99">
        <v>0.14000000000000001</v>
      </c>
    </row>
    <row r="884" spans="2:6" x14ac:dyDescent="0.2">
      <c r="B884" s="36" t="s">
        <v>353</v>
      </c>
      <c r="C884" s="176" t="s">
        <v>389</v>
      </c>
      <c r="D884" s="47">
        <v>22</v>
      </c>
      <c r="E884" s="44">
        <v>5.3</v>
      </c>
      <c r="F884" s="45">
        <v>0.56999999999999995</v>
      </c>
    </row>
    <row r="885" spans="2:6" x14ac:dyDescent="0.2">
      <c r="B885" s="4" t="s">
        <v>353</v>
      </c>
      <c r="C885" s="173" t="s">
        <v>389</v>
      </c>
      <c r="D885" s="37" t="s">
        <v>660</v>
      </c>
      <c r="E885" s="5" t="s">
        <v>170</v>
      </c>
      <c r="F885" s="39">
        <v>0.31</v>
      </c>
    </row>
    <row r="886" spans="2:6" x14ac:dyDescent="0.2">
      <c r="B886" s="30" t="s">
        <v>353</v>
      </c>
      <c r="C886" s="30" t="s">
        <v>389</v>
      </c>
      <c r="D886" s="165">
        <v>20</v>
      </c>
      <c r="E886" s="101"/>
      <c r="F886" s="99">
        <f>0.988-0.015-0.04</f>
        <v>0.93299999999999994</v>
      </c>
    </row>
    <row r="887" spans="2:6" x14ac:dyDescent="0.2">
      <c r="B887" s="30" t="s">
        <v>353</v>
      </c>
      <c r="C887" s="30" t="s">
        <v>389</v>
      </c>
      <c r="D887" s="30">
        <v>50</v>
      </c>
      <c r="E887" s="101"/>
      <c r="F887" s="99">
        <f>0.21+0.154</f>
        <v>0.36399999999999999</v>
      </c>
    </row>
    <row r="888" spans="2:6" x14ac:dyDescent="0.2">
      <c r="B888" s="101" t="s">
        <v>353</v>
      </c>
      <c r="C888" s="30" t="s">
        <v>389</v>
      </c>
      <c r="D888" s="101">
        <v>60</v>
      </c>
      <c r="E888" s="183"/>
      <c r="F888" s="99">
        <v>0.43</v>
      </c>
    </row>
    <row r="889" spans="2:6" x14ac:dyDescent="0.2">
      <c r="B889" s="30" t="s">
        <v>353</v>
      </c>
      <c r="C889" s="30" t="s">
        <v>822</v>
      </c>
      <c r="D889" s="30">
        <v>50</v>
      </c>
      <c r="E889" s="101" t="s">
        <v>2734</v>
      </c>
      <c r="F889" s="34">
        <f>0.392-0.054+1.055+0.112-0.155</f>
        <v>1.35</v>
      </c>
    </row>
    <row r="890" spans="2:6" x14ac:dyDescent="0.2">
      <c r="B890" s="30" t="s">
        <v>353</v>
      </c>
      <c r="C890" s="30" t="s">
        <v>822</v>
      </c>
      <c r="D890" s="30">
        <v>60</v>
      </c>
      <c r="E890" s="101">
        <v>2.62</v>
      </c>
      <c r="F890" s="34">
        <f>0.058+0.04+0.058</f>
        <v>0.156</v>
      </c>
    </row>
    <row r="891" spans="2:6" x14ac:dyDescent="0.2">
      <c r="B891" s="30" t="s">
        <v>353</v>
      </c>
      <c r="C891" s="30" t="s">
        <v>822</v>
      </c>
      <c r="D891" s="30">
        <v>80</v>
      </c>
      <c r="E891" s="101">
        <v>2.65</v>
      </c>
      <c r="F891" s="99">
        <f>1.676-0.33-0.266-0.106-0.342-0.122-0.164-0.042-0.21+(0.105)-0.04</f>
        <v>0.15899999999999989</v>
      </c>
    </row>
    <row r="892" spans="2:6" x14ac:dyDescent="0.2">
      <c r="B892" s="101" t="s">
        <v>353</v>
      </c>
      <c r="C892" s="30" t="s">
        <v>822</v>
      </c>
      <c r="D892" s="101">
        <v>35</v>
      </c>
      <c r="E892" s="183"/>
      <c r="F892" s="99">
        <v>0.23</v>
      </c>
    </row>
    <row r="893" spans="2:6" x14ac:dyDescent="0.2">
      <c r="B893" s="101" t="s">
        <v>353</v>
      </c>
      <c r="C893" s="30" t="s">
        <v>822</v>
      </c>
      <c r="D893" s="101">
        <v>56</v>
      </c>
      <c r="E893" s="25"/>
      <c r="F893" s="99">
        <f>0.41-0.09-0.26</f>
        <v>5.9999999999999942E-2</v>
      </c>
    </row>
    <row r="894" spans="2:6" x14ac:dyDescent="0.2">
      <c r="B894" s="36" t="s">
        <v>353</v>
      </c>
      <c r="C894" s="176" t="s">
        <v>367</v>
      </c>
      <c r="D894" s="36">
        <v>280</v>
      </c>
      <c r="E894" s="44">
        <v>3.18</v>
      </c>
      <c r="F894" s="45">
        <v>1.64</v>
      </c>
    </row>
    <row r="895" spans="2:6" x14ac:dyDescent="0.2">
      <c r="B895" s="30" t="s">
        <v>353</v>
      </c>
      <c r="C895" s="30" t="s">
        <v>367</v>
      </c>
      <c r="D895" s="30">
        <v>30</v>
      </c>
      <c r="E895" s="101">
        <v>4.7</v>
      </c>
      <c r="F895" s="99">
        <f>3.22-0.306-0.154-0.028-0.104-0.692-0.054</f>
        <v>1.8820000000000001</v>
      </c>
    </row>
    <row r="896" spans="2:6" x14ac:dyDescent="0.2">
      <c r="B896" s="30" t="s">
        <v>353</v>
      </c>
      <c r="C896" s="30" t="s">
        <v>367</v>
      </c>
      <c r="D896" s="30">
        <v>40</v>
      </c>
      <c r="E896" s="101"/>
      <c r="F896" s="180"/>
    </row>
    <row r="897" spans="2:6" x14ac:dyDescent="0.2">
      <c r="B897" s="30" t="s">
        <v>353</v>
      </c>
      <c r="C897" s="30" t="s">
        <v>367</v>
      </c>
      <c r="D897" s="30">
        <v>50</v>
      </c>
      <c r="E897" s="101" t="s">
        <v>2723</v>
      </c>
      <c r="F897" s="99">
        <f>0.066-0.066+0.18-0.18+0.49-0.332-0.158+2.19-0.385-1.03-0.52-0.07+3.13-0.086-0.33-0.046-0.116-0.496-0.336-0.014-0.086-0.058-0.414-0.158-0.408-0.3-0.208-0.07-0.006-0.012-0.084+4.08-0.154</f>
        <v>4.0129999999999999</v>
      </c>
    </row>
    <row r="898" spans="2:6" x14ac:dyDescent="0.2">
      <c r="B898" s="30" t="s">
        <v>353</v>
      </c>
      <c r="C898" s="30" t="s">
        <v>367</v>
      </c>
      <c r="D898" s="30">
        <v>70</v>
      </c>
      <c r="E898" s="101" t="s">
        <v>2724</v>
      </c>
      <c r="F898" s="34">
        <f>2.84-0.466-0.156-0.29-0.25</f>
        <v>1.6779999999999995</v>
      </c>
    </row>
    <row r="899" spans="2:6" x14ac:dyDescent="0.2">
      <c r="B899" s="30" t="s">
        <v>353</v>
      </c>
      <c r="C899" s="30" t="s">
        <v>367</v>
      </c>
      <c r="D899" s="30">
        <v>80</v>
      </c>
      <c r="E899" s="101" t="s">
        <v>2725</v>
      </c>
      <c r="F899" s="34">
        <v>3.05</v>
      </c>
    </row>
    <row r="900" spans="2:6" x14ac:dyDescent="0.2">
      <c r="B900" s="30" t="s">
        <v>353</v>
      </c>
      <c r="C900" s="30" t="s">
        <v>367</v>
      </c>
      <c r="D900" s="30">
        <v>90</v>
      </c>
      <c r="E900" s="101" t="s">
        <v>2726</v>
      </c>
      <c r="F900" s="34">
        <f>2.86-0.444-0.218-0.212-0.668-0.214-0.886-0.142+3.12</f>
        <v>3.1960000000000002</v>
      </c>
    </row>
    <row r="901" spans="2:6" x14ac:dyDescent="0.2">
      <c r="B901" s="30" t="s">
        <v>353</v>
      </c>
      <c r="C901" s="30" t="s">
        <v>367</v>
      </c>
      <c r="D901" s="30">
        <v>100</v>
      </c>
      <c r="E901" s="101">
        <v>5</v>
      </c>
      <c r="F901" s="99">
        <f>0.319-0.319+0.95-0.622-0.328+0.36-0.36+0.44-0.385-0.062+(0.007)+3.12-0.324-0.124-0.006-0.185-0.315-0.31-0.118-0.092-0.31-0.33-0.124-0.325-0.17-0.387+0.72+0.518-0.518-0.365+3.48-0.36-0.32-0.168-0.104-0.06-0.122-0.996-0.062-0.154-0.184-0.174-1.054+3.03-0.09-0.012-0.15-0.212-0.216-0.12-0.364-0.364-0.308-0.248-0.254-0.016-0.47+3.55+0.136</f>
        <v>3.9690000000000003</v>
      </c>
    </row>
    <row r="902" spans="2:6" x14ac:dyDescent="0.2">
      <c r="B902" s="30" t="s">
        <v>353</v>
      </c>
      <c r="C902" s="30" t="s">
        <v>367</v>
      </c>
      <c r="D902" s="30">
        <v>110</v>
      </c>
      <c r="E902" s="101" t="s">
        <v>2727</v>
      </c>
      <c r="F902" s="34">
        <f>2.57-0.658-0.612-0.022-0.046-0.15-0.022-0.306-0.624+(0.268)-0.152-0.268+(0.022)+1.05-1.05+2.68-0.114-0.27-0.376-0.06-0.038-0.012-0.152-0.224-0.01-0.03-0.192-0.442-0.074-0.38-0.094+2.97</f>
        <v>3.1820000000000004</v>
      </c>
    </row>
    <row r="903" spans="2:6" x14ac:dyDescent="0.2">
      <c r="B903" s="30" t="s">
        <v>353</v>
      </c>
      <c r="C903" s="30" t="s">
        <v>367</v>
      </c>
      <c r="D903" s="30">
        <v>120</v>
      </c>
      <c r="E903" s="101" t="s">
        <v>2728</v>
      </c>
      <c r="F903" s="34">
        <f>2.53+1.9-0.106-0.34-0.018-1.004-0.1</f>
        <v>2.8620000000000001</v>
      </c>
    </row>
    <row r="904" spans="2:6" x14ac:dyDescent="0.2">
      <c r="B904" s="30" t="s">
        <v>353</v>
      </c>
      <c r="C904" s="30" t="s">
        <v>367</v>
      </c>
      <c r="D904" s="30">
        <v>140</v>
      </c>
      <c r="E904" s="101" t="s">
        <v>2729</v>
      </c>
      <c r="F904" s="34">
        <f>2.01+1.49-0.406-0.302+2.99-1.976-0.148-1.292-0.096-0.606-0.406-0.12-0.122-0.12-0.062-0.014+3.91-0.122-1.174-0.112-0.12-0.124-0.172-0.028-0.38-0.3-0.24</f>
        <v>1.9579999999999995</v>
      </c>
    </row>
    <row r="905" spans="2:6" x14ac:dyDescent="0.2">
      <c r="B905" s="30" t="s">
        <v>353</v>
      </c>
      <c r="C905" s="30" t="s">
        <v>367</v>
      </c>
      <c r="D905" s="30">
        <v>150</v>
      </c>
      <c r="E905" s="101" t="s">
        <v>2730</v>
      </c>
      <c r="F905" s="34">
        <f>3.07-0.022-0.14-0.582-0.12-0.02-0.298-0.116-0.326-0.294-1.172+(0.02)+2.97-0.478-0.062-0.036-0.146-0.5-0.138-0.008-0.248-0.276-0.14-0.366-0.114-0.14+4-0.196-0.382-0.114-0.576-0.228-1.156-0.072-0.112-0.486-0.086-0.278</f>
        <v>0.63200000000000045</v>
      </c>
    </row>
    <row r="906" spans="2:6" x14ac:dyDescent="0.2">
      <c r="B906" s="30" t="s">
        <v>353</v>
      </c>
      <c r="C906" s="30" t="s">
        <v>367</v>
      </c>
      <c r="D906" s="30">
        <v>160</v>
      </c>
      <c r="E906" s="101" t="s">
        <v>1165</v>
      </c>
      <c r="F906" s="180"/>
    </row>
    <row r="907" spans="2:6" x14ac:dyDescent="0.2">
      <c r="B907" s="30" t="s">
        <v>353</v>
      </c>
      <c r="C907" s="30" t="s">
        <v>367</v>
      </c>
      <c r="D907" s="30">
        <v>170</v>
      </c>
      <c r="E907" s="101">
        <v>2.5099999999999998</v>
      </c>
      <c r="F907" s="34">
        <f>2.05-2.05+4.39-0.688-1.126-1.094-0.73-0.094-0.008+0.471-0.024-0.21+3.184-0.634-0.638-0.028-1.27-0.24-0.11-0.636-0.254-0.028-0.494+(0.261)+4.79-0.354-0.54-0.18-0.542-0.028-0.248-0.178-0.178-1.074-0.522-0.08-0.064-0.022-0.026-0.406+3.56-0.18-0.15-0.508-0.394-0.044-0.476-0.058-0.062-0.362</f>
        <v>1.6739999999999999</v>
      </c>
    </row>
    <row r="908" spans="2:6" x14ac:dyDescent="0.2">
      <c r="B908" s="30" t="s">
        <v>353</v>
      </c>
      <c r="C908" s="30" t="s">
        <v>367</v>
      </c>
      <c r="D908" s="30">
        <v>180</v>
      </c>
      <c r="E908" s="101" t="s">
        <v>2731</v>
      </c>
      <c r="F908" s="34">
        <f>4.95-2.152+2.95-0.014-0.198-0.398-0.308-1.19-0.1+2.41-1.19-0.624-0.092-0.198-0.86-0.198-0.204+4.92-0.026-0.072-0.836-0.102</f>
        <v>6.468</v>
      </c>
    </row>
    <row r="909" spans="2:6" x14ac:dyDescent="0.2">
      <c r="B909" s="30" t="s">
        <v>353</v>
      </c>
      <c r="C909" s="30" t="s">
        <v>367</v>
      </c>
      <c r="D909" s="30">
        <v>200</v>
      </c>
      <c r="E909" s="101" t="s">
        <v>2732</v>
      </c>
      <c r="F909" s="34">
        <f>4.08-0.045-1.34-2.06+3.18-0.69-1.36-1.834+(0.069)+8.88-1.85-0.668-0.74-0.85-0.058-0.034-0.592-0.49-0.15+2.11-0.306-1.844-0.696-0.028-0.06-0.696-0.084-0.978-0.052-0.504+0.694-0.694-0.144+3.02-0.248-1.536-0.126+1.47-0.128+1.37</f>
        <v>3.9880000000000013</v>
      </c>
    </row>
    <row r="910" spans="2:6" x14ac:dyDescent="0.2">
      <c r="B910" s="30" t="s">
        <v>353</v>
      </c>
      <c r="C910" s="30" t="s">
        <v>367</v>
      </c>
      <c r="D910" s="30">
        <v>210</v>
      </c>
      <c r="E910" s="101"/>
      <c r="F910" s="180"/>
    </row>
    <row r="911" spans="2:6" x14ac:dyDescent="0.2">
      <c r="B911" s="30" t="s">
        <v>353</v>
      </c>
      <c r="C911" s="30" t="s">
        <v>367</v>
      </c>
      <c r="D911" s="30">
        <v>220</v>
      </c>
      <c r="E911" s="101"/>
      <c r="F911" s="99">
        <f>4.37-0.906-0.6-0.826-0.9-0.904+4.44-0.65-0.298-0.452-1.118-0.862-1.09-0.53+(0.326)+0.504-0.248+3.6-0.904-0.594-0.152-0.486-1.094</f>
        <v>0.62599999999999989</v>
      </c>
    </row>
    <row r="912" spans="2:6" x14ac:dyDescent="0.2">
      <c r="B912" s="30" t="s">
        <v>353</v>
      </c>
      <c r="C912" s="30" t="s">
        <v>367</v>
      </c>
      <c r="D912" s="30">
        <v>230</v>
      </c>
      <c r="E912" s="101">
        <v>3.58</v>
      </c>
      <c r="F912" s="34">
        <f>3.31-2.165-0.82-0.098-0.142+2.96-0.392-2.442+3.45-1.3-0.698-0.78-0.456+4.6-0.492-0.122-0.096-0.602-1.162-0.054-0.88-0.786</f>
        <v>0.83299999999999974</v>
      </c>
    </row>
    <row r="913" spans="2:6" x14ac:dyDescent="0.2">
      <c r="B913" s="30" t="s">
        <v>353</v>
      </c>
      <c r="C913" s="30" t="s">
        <v>367</v>
      </c>
      <c r="D913" s="30">
        <v>250</v>
      </c>
      <c r="E913" s="101">
        <v>2.9</v>
      </c>
      <c r="F913" s="99">
        <f>4.63-4.63+2.9-0.022-1.65+2.4-0.95-(2.4)-0.3+(0.022)+4.72+(0.018)-0.198-1.448-0.15-0.382-0.194-1.904+3.34-0.74-0.416-0.46-0.392-0.386-0.118+4.48-1.122-0.122</f>
        <v>4.5259999999999998</v>
      </c>
    </row>
    <row r="914" spans="2:6" x14ac:dyDescent="0.2">
      <c r="B914" s="30" t="s">
        <v>353</v>
      </c>
      <c r="C914" s="30" t="s">
        <v>367</v>
      </c>
      <c r="D914" s="30">
        <v>260</v>
      </c>
      <c r="E914" s="101">
        <v>2.66</v>
      </c>
      <c r="F914" s="99">
        <v>4.32</v>
      </c>
    </row>
    <row r="915" spans="2:6" x14ac:dyDescent="0.2">
      <c r="B915" s="30" t="s">
        <v>353</v>
      </c>
      <c r="C915" s="30" t="s">
        <v>367</v>
      </c>
      <c r="D915" s="30">
        <v>280</v>
      </c>
      <c r="E915" s="101" t="s">
        <v>2733</v>
      </c>
      <c r="F915" s="99">
        <v>2.73</v>
      </c>
    </row>
    <row r="916" spans="2:6" x14ac:dyDescent="0.2">
      <c r="B916" s="101" t="s">
        <v>353</v>
      </c>
      <c r="C916" s="30" t="s">
        <v>367</v>
      </c>
      <c r="D916" s="101">
        <v>48</v>
      </c>
      <c r="E916" s="25"/>
      <c r="F916" s="99">
        <v>0.01</v>
      </c>
    </row>
    <row r="917" spans="2:6" x14ac:dyDescent="0.2">
      <c r="B917" s="101" t="s">
        <v>353</v>
      </c>
      <c r="C917" s="30" t="s">
        <v>367</v>
      </c>
      <c r="D917" s="101">
        <v>300</v>
      </c>
      <c r="E917" s="25"/>
      <c r="F917" s="99">
        <v>0.05</v>
      </c>
    </row>
    <row r="918" spans="2:6" x14ac:dyDescent="0.2">
      <c r="B918" s="101" t="s">
        <v>353</v>
      </c>
      <c r="C918" s="30" t="s">
        <v>367</v>
      </c>
      <c r="D918" s="101" t="s">
        <v>1669</v>
      </c>
      <c r="E918" s="183"/>
      <c r="F918" s="99"/>
    </row>
    <row r="919" spans="2:6" x14ac:dyDescent="0.2">
      <c r="B919" s="101" t="s">
        <v>353</v>
      </c>
      <c r="C919" s="30" t="s">
        <v>367</v>
      </c>
      <c r="D919" s="101">
        <v>340</v>
      </c>
      <c r="E919" s="183"/>
      <c r="F919" s="99">
        <v>0.08</v>
      </c>
    </row>
    <row r="920" spans="2:6" x14ac:dyDescent="0.2">
      <c r="B920" s="30" t="s">
        <v>353</v>
      </c>
      <c r="C920" s="30" t="s">
        <v>368</v>
      </c>
      <c r="D920" s="30">
        <v>200</v>
      </c>
      <c r="E920" s="101">
        <v>1.56</v>
      </c>
      <c r="F920" s="99">
        <v>0.41199999999999998</v>
      </c>
    </row>
    <row r="921" spans="2:6" x14ac:dyDescent="0.2">
      <c r="B921" s="101" t="s">
        <v>353</v>
      </c>
      <c r="C921" s="30" t="s">
        <v>1579</v>
      </c>
      <c r="D921" s="101">
        <v>80</v>
      </c>
      <c r="E921" s="25"/>
      <c r="F921" s="99">
        <f>1.44-0.39</f>
        <v>1.0499999999999998</v>
      </c>
    </row>
    <row r="922" spans="2:6" x14ac:dyDescent="0.2">
      <c r="B922" s="101" t="s">
        <v>353</v>
      </c>
      <c r="C922" s="30" t="s">
        <v>1590</v>
      </c>
      <c r="D922" s="101">
        <v>90</v>
      </c>
      <c r="E922" s="25"/>
      <c r="F922" s="99">
        <v>0.13</v>
      </c>
    </row>
    <row r="923" spans="2:6" x14ac:dyDescent="0.2">
      <c r="B923" s="101" t="s">
        <v>353</v>
      </c>
      <c r="C923" s="30" t="s">
        <v>1590</v>
      </c>
      <c r="D923" s="101">
        <v>90</v>
      </c>
      <c r="E923" s="25"/>
      <c r="F923" s="99">
        <v>2.27</v>
      </c>
    </row>
    <row r="924" spans="2:6" x14ac:dyDescent="0.2">
      <c r="B924" s="4" t="s">
        <v>353</v>
      </c>
      <c r="C924" s="174" t="s">
        <v>704</v>
      </c>
      <c r="D924" s="36">
        <v>30</v>
      </c>
      <c r="E924" s="44">
        <v>2.6</v>
      </c>
      <c r="F924" s="45">
        <v>0.56999999999999995</v>
      </c>
    </row>
    <row r="925" spans="2:6" x14ac:dyDescent="0.2">
      <c r="B925" s="4" t="s">
        <v>353</v>
      </c>
      <c r="C925" s="174" t="s">
        <v>704</v>
      </c>
      <c r="D925" s="37" t="s">
        <v>660</v>
      </c>
      <c r="E925" s="5" t="s">
        <v>295</v>
      </c>
      <c r="F925" s="39">
        <v>0.52</v>
      </c>
    </row>
    <row r="926" spans="2:6" x14ac:dyDescent="0.2">
      <c r="B926" s="4" t="s">
        <v>353</v>
      </c>
      <c r="C926" s="174" t="s">
        <v>706</v>
      </c>
      <c r="D926" s="37" t="s">
        <v>661</v>
      </c>
      <c r="E926" s="5" t="s">
        <v>38</v>
      </c>
      <c r="F926" s="39">
        <v>0.19500000000000001</v>
      </c>
    </row>
    <row r="927" spans="2:6" x14ac:dyDescent="0.2">
      <c r="B927" s="4" t="s">
        <v>353</v>
      </c>
      <c r="C927" s="173" t="s">
        <v>685</v>
      </c>
      <c r="D927" s="64">
        <v>13</v>
      </c>
      <c r="E927" s="82" t="s">
        <v>815</v>
      </c>
      <c r="F927" s="40">
        <v>1.62</v>
      </c>
    </row>
    <row r="928" spans="2:6" x14ac:dyDescent="0.2">
      <c r="B928" s="4" t="s">
        <v>353</v>
      </c>
      <c r="C928" s="173" t="s">
        <v>685</v>
      </c>
      <c r="D928" s="64">
        <v>13</v>
      </c>
      <c r="E928" s="82">
        <v>5.5</v>
      </c>
      <c r="F928" s="40">
        <v>2.72</v>
      </c>
    </row>
    <row r="929" spans="2:6" x14ac:dyDescent="0.2">
      <c r="B929" s="4" t="s">
        <v>353</v>
      </c>
      <c r="C929" s="173" t="s">
        <v>685</v>
      </c>
      <c r="D929" s="37" t="s">
        <v>657</v>
      </c>
      <c r="E929" s="5" t="s">
        <v>30</v>
      </c>
      <c r="F929" s="39">
        <v>0.125</v>
      </c>
    </row>
    <row r="930" spans="2:6" x14ac:dyDescent="0.2">
      <c r="B930" s="30" t="s">
        <v>353</v>
      </c>
      <c r="C930" s="30" t="s">
        <v>685</v>
      </c>
      <c r="D930" s="30">
        <v>140</v>
      </c>
      <c r="E930" s="101"/>
      <c r="F930" s="34">
        <f>3.2-1.07-0.534-0.536-0.212-0.07-0.536</f>
        <v>0.24199999999999977</v>
      </c>
    </row>
    <row r="931" spans="2:6" x14ac:dyDescent="0.2">
      <c r="B931" s="30" t="s">
        <v>353</v>
      </c>
      <c r="C931" s="30" t="s">
        <v>685</v>
      </c>
      <c r="D931" s="30">
        <v>160</v>
      </c>
      <c r="E931" s="101"/>
      <c r="F931" s="34">
        <f>4.47-0.11-0.048-0.07-0.098-0.47-0.916-0.374-0.264-0.234-0.062-0.444-0.128</f>
        <v>1.2519999999999993</v>
      </c>
    </row>
    <row r="932" spans="2:6" x14ac:dyDescent="0.2">
      <c r="B932" s="30" t="s">
        <v>353</v>
      </c>
      <c r="C932" s="30" t="s">
        <v>685</v>
      </c>
      <c r="D932" s="30">
        <v>180</v>
      </c>
      <c r="E932" s="101"/>
      <c r="F932" s="34">
        <f>4.47-0.022</f>
        <v>4.4479999999999995</v>
      </c>
    </row>
    <row r="933" spans="2:6" x14ac:dyDescent="0.2">
      <c r="B933" s="30" t="s">
        <v>353</v>
      </c>
      <c r="C933" s="30" t="s">
        <v>685</v>
      </c>
      <c r="D933" s="30">
        <v>200</v>
      </c>
      <c r="E933" s="101"/>
      <c r="F933" s="99">
        <f>2.49-0.578-0.366-0.208-0.286+(0.578)-0.05+3.91</f>
        <v>5.49</v>
      </c>
    </row>
    <row r="934" spans="2:6" x14ac:dyDescent="0.2">
      <c r="B934" s="30" t="s">
        <v>353</v>
      </c>
      <c r="C934" s="30" t="s">
        <v>685</v>
      </c>
      <c r="D934" s="30">
        <v>230</v>
      </c>
      <c r="E934" s="101"/>
      <c r="F934" s="34">
        <f>3.52-0.422-0.162-0.368-0.822-0.388</f>
        <v>1.3580000000000001</v>
      </c>
    </row>
    <row r="935" spans="2:6" x14ac:dyDescent="0.2">
      <c r="B935" s="101" t="s">
        <v>353</v>
      </c>
      <c r="C935" s="30" t="s">
        <v>685</v>
      </c>
      <c r="D935" s="101" t="s">
        <v>2433</v>
      </c>
      <c r="E935" s="183"/>
      <c r="F935" s="99">
        <f>1.54+1.25</f>
        <v>2.79</v>
      </c>
    </row>
    <row r="936" spans="2:6" x14ac:dyDescent="0.2">
      <c r="B936" s="101" t="s">
        <v>353</v>
      </c>
      <c r="C936" s="30" t="s">
        <v>685</v>
      </c>
      <c r="D936" s="101">
        <v>56</v>
      </c>
      <c r="E936" s="25"/>
      <c r="F936" s="99">
        <f>5.64-0.56-0.555-1-0.42-0.22-0.07-0.11-0.05-0.44-0.225-0.11-0.22-0.45-0.105-0.11-0.11-0.23-0.115</f>
        <v>0.5400000000000007</v>
      </c>
    </row>
    <row r="937" spans="2:6" x14ac:dyDescent="0.2">
      <c r="B937" s="36" t="s">
        <v>353</v>
      </c>
      <c r="C937" s="176" t="s">
        <v>410</v>
      </c>
      <c r="D937" s="36">
        <v>120</v>
      </c>
      <c r="E937" s="44" t="s">
        <v>816</v>
      </c>
      <c r="F937" s="46">
        <v>0.31</v>
      </c>
    </row>
    <row r="938" spans="2:6" x14ac:dyDescent="0.2">
      <c r="B938" s="101" t="s">
        <v>353</v>
      </c>
      <c r="C938" s="30" t="s">
        <v>1551</v>
      </c>
      <c r="D938" s="101">
        <v>35</v>
      </c>
      <c r="E938" s="183"/>
      <c r="F938" s="99">
        <f>2.73-0.175-0.1-0.66-0.05-0.18-0.09-0.22</f>
        <v>1.2549999999999999</v>
      </c>
    </row>
    <row r="939" spans="2:6" x14ac:dyDescent="0.2">
      <c r="B939" s="36" t="s">
        <v>353</v>
      </c>
      <c r="C939" s="173" t="s">
        <v>813</v>
      </c>
      <c r="D939" s="64" t="s">
        <v>814</v>
      </c>
      <c r="E939" s="82">
        <v>5.5</v>
      </c>
      <c r="F939" s="40">
        <v>0.41</v>
      </c>
    </row>
    <row r="940" spans="2:6" x14ac:dyDescent="0.2">
      <c r="B940" s="101" t="s">
        <v>353</v>
      </c>
      <c r="C940" s="30" t="s">
        <v>1545</v>
      </c>
      <c r="D940" s="101">
        <v>30</v>
      </c>
      <c r="E940" s="183"/>
      <c r="F940" s="99">
        <f>0.45-0.025</f>
        <v>0.42499999999999999</v>
      </c>
    </row>
    <row r="941" spans="2:6" x14ac:dyDescent="0.2">
      <c r="B941" s="4" t="s">
        <v>353</v>
      </c>
      <c r="C941" s="174" t="s">
        <v>409</v>
      </c>
      <c r="D941" s="64" t="s">
        <v>379</v>
      </c>
      <c r="E941" s="82">
        <v>2.52</v>
      </c>
      <c r="F941" s="40">
        <v>0.71</v>
      </c>
    </row>
    <row r="942" spans="2:6" x14ac:dyDescent="0.2">
      <c r="B942" s="4" t="s">
        <v>353</v>
      </c>
      <c r="C942" s="174" t="s">
        <v>708</v>
      </c>
      <c r="D942" s="37" t="s">
        <v>661</v>
      </c>
      <c r="E942" s="82" t="s">
        <v>26</v>
      </c>
      <c r="F942" s="40">
        <v>1.498</v>
      </c>
    </row>
    <row r="943" spans="2:6" x14ac:dyDescent="0.2">
      <c r="B943" s="30" t="s">
        <v>353</v>
      </c>
      <c r="C943" s="30" t="s">
        <v>708</v>
      </c>
      <c r="D943" s="30">
        <v>14</v>
      </c>
      <c r="E943" s="101"/>
      <c r="F943" s="34">
        <f>1.733-0.01-0.018-0.01</f>
        <v>1.6950000000000001</v>
      </c>
    </row>
    <row r="944" spans="2:6" x14ac:dyDescent="0.2">
      <c r="B944" s="30" t="s">
        <v>353</v>
      </c>
      <c r="C944" s="30" t="s">
        <v>708</v>
      </c>
      <c r="D944" s="30">
        <v>60</v>
      </c>
      <c r="E944" s="101"/>
      <c r="F944" s="99">
        <f>3.13-0.342+1.65-0.108-0.17-0.104-0.102-0.356-0.058-0.13-0.046-0.214-1.068-0.248-0.108-0.116-0.048-1.494+3.33-0.112</f>
        <v>3.2860000000000005</v>
      </c>
    </row>
    <row r="945" spans="2:6" x14ac:dyDescent="0.2">
      <c r="B945" s="30" t="s">
        <v>353</v>
      </c>
      <c r="C945" s="30" t="s">
        <v>708</v>
      </c>
      <c r="D945" s="30">
        <v>80</v>
      </c>
      <c r="E945" s="101"/>
      <c r="F945" s="34">
        <f>3.05-0.288-0.056-0.146</f>
        <v>2.56</v>
      </c>
    </row>
    <row r="946" spans="2:6" x14ac:dyDescent="0.2">
      <c r="B946" s="30" t="s">
        <v>353</v>
      </c>
      <c r="C946" s="30" t="s">
        <v>708</v>
      </c>
      <c r="D946" s="30">
        <v>90</v>
      </c>
      <c r="E946" s="101"/>
      <c r="F946" s="34">
        <f>3.28-1.332</f>
        <v>1.9479999999999997</v>
      </c>
    </row>
    <row r="947" spans="2:6" x14ac:dyDescent="0.2">
      <c r="B947" s="30" t="s">
        <v>353</v>
      </c>
      <c r="C947" s="30" t="s">
        <v>708</v>
      </c>
      <c r="D947" s="30">
        <v>100</v>
      </c>
      <c r="E947" s="101"/>
      <c r="F947" s="99">
        <f>3.92-0.032-0.28-0.318-0.314-0.312-0.032-0.586-0.914</f>
        <v>1.1319999999999997</v>
      </c>
    </row>
    <row r="948" spans="2:6" x14ac:dyDescent="0.2">
      <c r="B948" s="30" t="s">
        <v>353</v>
      </c>
      <c r="C948" s="30" t="s">
        <v>708</v>
      </c>
      <c r="D948" s="30">
        <v>120</v>
      </c>
      <c r="E948" s="101"/>
      <c r="F948" s="34">
        <f>1.56-0.218-0.3-0.114-0.178-0.458+0.39-0.39-0.292+2.85-0.56-0.555-0.014-0.61+1.79-0.044-0.274-0.252+(0.252)-0.15-0.1-0.09-0.094-0.048-0.298</f>
        <v>1.8029999999999995</v>
      </c>
    </row>
    <row r="949" spans="2:6" x14ac:dyDescent="0.2">
      <c r="B949" s="30" t="s">
        <v>353</v>
      </c>
      <c r="C949" s="30" t="s">
        <v>708</v>
      </c>
      <c r="D949" s="30">
        <v>150</v>
      </c>
      <c r="E949" s="101"/>
      <c r="F949" s="99">
        <f>0.645-0.638-(0.007)+3+0.83-0.126-0.358-0.002-0.072-0.12-0.375-0.898-0.024-0.35-0.042-0.336-0.378+4.53</f>
        <v>5.2789999999999999</v>
      </c>
    </row>
    <row r="950" spans="2:6" x14ac:dyDescent="0.2">
      <c r="B950" s="30" t="s">
        <v>353</v>
      </c>
      <c r="C950" s="30" t="s">
        <v>708</v>
      </c>
      <c r="D950" s="30">
        <v>180</v>
      </c>
      <c r="E950" s="101"/>
      <c r="F950" s="34">
        <f>1.74-0.142-0.56-0.08-0.15+1.18-0.198-0.024-0.382</f>
        <v>1.3839999999999999</v>
      </c>
    </row>
    <row r="951" spans="2:6" x14ac:dyDescent="0.2">
      <c r="B951" s="30" t="s">
        <v>353</v>
      </c>
      <c r="C951" s="30" t="s">
        <v>708</v>
      </c>
      <c r="D951" s="30">
        <v>200</v>
      </c>
      <c r="E951" s="101"/>
      <c r="F951" s="34">
        <f>4.76-0.05-0.148-0.496-0.284-0.102-1.056-0.578</f>
        <v>2.0460000000000012</v>
      </c>
    </row>
    <row r="952" spans="2:6" x14ac:dyDescent="0.2">
      <c r="B952" s="30" t="s">
        <v>353</v>
      </c>
      <c r="C952" s="30" t="s">
        <v>708</v>
      </c>
      <c r="D952" s="30" t="s">
        <v>411</v>
      </c>
      <c r="E952" s="101"/>
      <c r="F952" s="99">
        <v>0.55000000000000004</v>
      </c>
    </row>
    <row r="953" spans="2:6" x14ac:dyDescent="0.2">
      <c r="B953" s="101" t="s">
        <v>353</v>
      </c>
      <c r="C953" s="30" t="s">
        <v>708</v>
      </c>
      <c r="D953" s="101">
        <v>30</v>
      </c>
      <c r="E953" s="183"/>
      <c r="F953" s="99">
        <f>0.39-0.1</f>
        <v>0.29000000000000004</v>
      </c>
    </row>
    <row r="954" spans="2:6" x14ac:dyDescent="0.2">
      <c r="B954" s="101" t="s">
        <v>353</v>
      </c>
      <c r="C954" s="30" t="s">
        <v>708</v>
      </c>
      <c r="D954" s="101">
        <v>40</v>
      </c>
      <c r="E954" s="25"/>
      <c r="F954" s="99">
        <f>0.79-0.05-0.05</f>
        <v>0.69</v>
      </c>
    </row>
    <row r="955" spans="2:6" x14ac:dyDescent="0.2">
      <c r="B955" s="101" t="s">
        <v>353</v>
      </c>
      <c r="C955" s="30" t="s">
        <v>708</v>
      </c>
      <c r="D955" s="101">
        <v>155</v>
      </c>
      <c r="E955" s="25"/>
      <c r="F955" s="99">
        <v>5.7</v>
      </c>
    </row>
    <row r="956" spans="2:6" x14ac:dyDescent="0.2">
      <c r="B956" s="101" t="s">
        <v>353</v>
      </c>
      <c r="C956" s="30" t="s">
        <v>708</v>
      </c>
      <c r="D956" s="101">
        <v>160</v>
      </c>
      <c r="E956" s="183"/>
      <c r="F956" s="99">
        <f>1.2-0.16-0.44</f>
        <v>0.60000000000000009</v>
      </c>
    </row>
    <row r="957" spans="2:6" x14ac:dyDescent="0.2">
      <c r="B957" s="101" t="s">
        <v>353</v>
      </c>
      <c r="C957" s="30" t="s">
        <v>2695</v>
      </c>
      <c r="D957" s="101">
        <v>180</v>
      </c>
      <c r="E957" s="183"/>
      <c r="F957" s="99"/>
    </row>
    <row r="958" spans="2:6" x14ac:dyDescent="0.2">
      <c r="B958" s="101" t="s">
        <v>353</v>
      </c>
      <c r="C958" s="30" t="s">
        <v>708</v>
      </c>
      <c r="D958" s="101" t="s">
        <v>1689</v>
      </c>
      <c r="E958" s="183"/>
      <c r="F958" s="99">
        <v>0.115</v>
      </c>
    </row>
    <row r="959" spans="2:6" x14ac:dyDescent="0.2">
      <c r="B959" s="101" t="s">
        <v>353</v>
      </c>
      <c r="C959" s="30" t="s">
        <v>708</v>
      </c>
      <c r="D959" s="101">
        <v>300</v>
      </c>
      <c r="E959" s="25"/>
      <c r="F959" s="99">
        <v>8</v>
      </c>
    </row>
    <row r="960" spans="2:6" x14ac:dyDescent="0.2">
      <c r="B960" s="101" t="s">
        <v>353</v>
      </c>
      <c r="C960" s="30" t="s">
        <v>708</v>
      </c>
      <c r="D960" s="101">
        <v>320</v>
      </c>
      <c r="E960" s="183"/>
      <c r="F960" s="99">
        <v>8</v>
      </c>
    </row>
    <row r="961" spans="2:6" x14ac:dyDescent="0.2">
      <c r="B961" s="36" t="s">
        <v>353</v>
      </c>
      <c r="C961" s="176" t="s">
        <v>340</v>
      </c>
      <c r="D961" s="36">
        <v>120</v>
      </c>
      <c r="E961" s="44">
        <v>1.55</v>
      </c>
      <c r="F961" s="45">
        <v>1.37</v>
      </c>
    </row>
    <row r="962" spans="2:6" x14ac:dyDescent="0.2">
      <c r="B962" s="30" t="s">
        <v>353</v>
      </c>
      <c r="C962" s="30" t="s">
        <v>1164</v>
      </c>
      <c r="D962" s="30">
        <v>120</v>
      </c>
      <c r="E962" s="101">
        <v>1.8</v>
      </c>
      <c r="F962" s="99">
        <f>0.825-0.316</f>
        <v>0.5089999999999999</v>
      </c>
    </row>
    <row r="963" spans="2:6" x14ac:dyDescent="0.2">
      <c r="B963" s="36" t="s">
        <v>353</v>
      </c>
      <c r="C963" s="176" t="s">
        <v>826</v>
      </c>
      <c r="D963" s="36" t="s">
        <v>382</v>
      </c>
      <c r="E963" s="44">
        <v>1.77</v>
      </c>
      <c r="F963" s="45">
        <v>0.67</v>
      </c>
    </row>
    <row r="964" spans="2:6" x14ac:dyDescent="0.2">
      <c r="B964" s="36" t="s">
        <v>353</v>
      </c>
      <c r="C964" s="176" t="s">
        <v>826</v>
      </c>
      <c r="D964" s="36" t="s">
        <v>384</v>
      </c>
      <c r="E964" s="70">
        <v>1.5</v>
      </c>
      <c r="F964" s="70">
        <v>0.87</v>
      </c>
    </row>
    <row r="965" spans="2:6" x14ac:dyDescent="0.2">
      <c r="B965" s="30" t="s">
        <v>353</v>
      </c>
      <c r="C965" s="30" t="s">
        <v>366</v>
      </c>
      <c r="D965" s="30">
        <v>60</v>
      </c>
      <c r="E965" s="101">
        <v>3.2</v>
      </c>
      <c r="F965" s="99">
        <f>0.082+0.09-0.082-0.09+0.282-0.144-0.022-0.062+(-0.054+0.072)</f>
        <v>7.1999999999999981E-2</v>
      </c>
    </row>
    <row r="966" spans="2:6" x14ac:dyDescent="0.2">
      <c r="B966" s="30" t="s">
        <v>353</v>
      </c>
      <c r="C966" s="30" t="s">
        <v>366</v>
      </c>
      <c r="D966" s="30">
        <v>80</v>
      </c>
      <c r="E966" s="101" t="s">
        <v>2721</v>
      </c>
      <c r="F966" s="99">
        <f>0.486+0.1+0.185-0.06-0.075-0.28</f>
        <v>0.35599999999999987</v>
      </c>
    </row>
    <row r="967" spans="2:6" x14ac:dyDescent="0.2">
      <c r="B967" s="30" t="s">
        <v>353</v>
      </c>
      <c r="C967" s="30" t="s">
        <v>366</v>
      </c>
      <c r="D967" s="30">
        <v>85</v>
      </c>
      <c r="E967" s="101" t="s">
        <v>2722</v>
      </c>
      <c r="F967" s="99">
        <f>0.102+0.304+0.086+0.06+0.07+0.086-0.175-0.152-0.152</f>
        <v>0.22900000000000012</v>
      </c>
    </row>
    <row r="968" spans="2:6" x14ac:dyDescent="0.2">
      <c r="B968" s="36" t="s">
        <v>353</v>
      </c>
      <c r="C968" s="176" t="s">
        <v>352</v>
      </c>
      <c r="D968" s="36">
        <v>35</v>
      </c>
      <c r="E968" s="44"/>
      <c r="F968" s="45">
        <v>0.32</v>
      </c>
    </row>
    <row r="969" spans="2:6" x14ac:dyDescent="0.2">
      <c r="B969" s="30" t="s">
        <v>353</v>
      </c>
      <c r="C969" s="30" t="s">
        <v>352</v>
      </c>
      <c r="D969" s="30">
        <v>100</v>
      </c>
      <c r="E969" s="101"/>
      <c r="F969" s="34">
        <v>1.5549999999999999</v>
      </c>
    </row>
    <row r="970" spans="2:6" x14ac:dyDescent="0.2">
      <c r="B970" s="30" t="s">
        <v>353</v>
      </c>
      <c r="C970" s="30" t="s">
        <v>352</v>
      </c>
      <c r="D970" s="30">
        <v>120</v>
      </c>
      <c r="E970" s="101"/>
      <c r="F970" s="34">
        <v>1.177</v>
      </c>
    </row>
    <row r="971" spans="2:6" x14ac:dyDescent="0.2">
      <c r="B971" s="30" t="s">
        <v>353</v>
      </c>
      <c r="C971" s="30" t="s">
        <v>352</v>
      </c>
      <c r="D971" s="30">
        <v>130</v>
      </c>
      <c r="E971" s="101"/>
      <c r="F971" s="34">
        <f>0.697-0.35-0.104-0.243+0.68-0.338+1.972-0.394-0.548-0.338-0.226-0.568-0.154+(0.572)-0.29-0.162+3.441</f>
        <v>3.6469999999999998</v>
      </c>
    </row>
    <row r="972" spans="2:6" x14ac:dyDescent="0.2">
      <c r="B972" s="30" t="s">
        <v>353</v>
      </c>
      <c r="C972" s="30" t="s">
        <v>352</v>
      </c>
      <c r="D972" s="30">
        <v>140</v>
      </c>
      <c r="E972" s="101"/>
      <c r="F972" s="34">
        <f>1.536-0.322-0.64+2.298</f>
        <v>2.8719999999999999</v>
      </c>
    </row>
    <row r="973" spans="2:6" x14ac:dyDescent="0.2">
      <c r="B973" s="30" t="s">
        <v>353</v>
      </c>
      <c r="C973" s="30" t="s">
        <v>352</v>
      </c>
      <c r="D973" s="30">
        <v>150</v>
      </c>
      <c r="E973" s="101"/>
      <c r="F973" s="34">
        <v>1.667</v>
      </c>
    </row>
    <row r="974" spans="2:6" x14ac:dyDescent="0.2">
      <c r="B974" s="30" t="s">
        <v>353</v>
      </c>
      <c r="C974" s="30" t="s">
        <v>352</v>
      </c>
      <c r="D974" s="30">
        <v>160</v>
      </c>
      <c r="E974" s="101"/>
      <c r="F974" s="34">
        <f>3.11-0.89-0.038-0.094+0.818</f>
        <v>2.9060000000000001</v>
      </c>
    </row>
    <row r="975" spans="2:6" x14ac:dyDescent="0.2">
      <c r="B975" s="30" t="s">
        <v>353</v>
      </c>
      <c r="C975" s="30" t="s">
        <v>352</v>
      </c>
      <c r="D975" s="30">
        <v>180</v>
      </c>
      <c r="E975" s="101"/>
      <c r="F975" s="34">
        <v>4.1749999999999998</v>
      </c>
    </row>
    <row r="976" spans="2:6" x14ac:dyDescent="0.2">
      <c r="B976" s="30" t="s">
        <v>353</v>
      </c>
      <c r="C976" s="30" t="s">
        <v>352</v>
      </c>
      <c r="D976" s="30">
        <v>200</v>
      </c>
      <c r="E976" s="101"/>
      <c r="F976" s="99">
        <f>2.936-0.256-1.696-0.266-0.056-0.036+2.225</f>
        <v>2.851</v>
      </c>
    </row>
    <row r="977" spans="2:6" x14ac:dyDescent="0.2">
      <c r="B977" s="30" t="s">
        <v>353</v>
      </c>
      <c r="C977" s="30" t="s">
        <v>352</v>
      </c>
      <c r="D977" s="30">
        <v>220</v>
      </c>
      <c r="E977" s="101"/>
      <c r="F977" s="34">
        <v>2.238</v>
      </c>
    </row>
    <row r="978" spans="2:6" x14ac:dyDescent="0.2">
      <c r="B978" s="30" t="s">
        <v>353</v>
      </c>
      <c r="C978" s="30" t="s">
        <v>352</v>
      </c>
      <c r="D978" s="30">
        <v>250</v>
      </c>
      <c r="E978" s="101"/>
      <c r="F978" s="99">
        <f>2.004-0.488-0.144+2.207</f>
        <v>3.5789999999999997</v>
      </c>
    </row>
    <row r="979" spans="2:6" x14ac:dyDescent="0.2">
      <c r="B979" s="4" t="s">
        <v>353</v>
      </c>
      <c r="C979" s="173" t="s">
        <v>696</v>
      </c>
      <c r="D979" s="63" t="s">
        <v>55</v>
      </c>
      <c r="E979" s="4" t="s">
        <v>161</v>
      </c>
      <c r="F979" s="38" t="s">
        <v>160</v>
      </c>
    </row>
    <row r="980" spans="2:6" x14ac:dyDescent="0.2">
      <c r="B980" s="101" t="s">
        <v>353</v>
      </c>
      <c r="C980" s="30" t="s">
        <v>371</v>
      </c>
      <c r="D980" s="101">
        <v>100</v>
      </c>
      <c r="E980" s="25"/>
      <c r="F980" s="99">
        <v>0.47499999999999998</v>
      </c>
    </row>
    <row r="981" spans="2:6" x14ac:dyDescent="0.2">
      <c r="B981" s="101" t="s">
        <v>353</v>
      </c>
      <c r="C981" s="30" t="s">
        <v>371</v>
      </c>
      <c r="D981" s="101">
        <v>110</v>
      </c>
      <c r="E981" s="183"/>
      <c r="F981" s="99">
        <v>0.22</v>
      </c>
    </row>
    <row r="982" spans="2:6" x14ac:dyDescent="0.2">
      <c r="B982" s="101" t="s">
        <v>353</v>
      </c>
      <c r="C982" s="30" t="s">
        <v>371</v>
      </c>
      <c r="D982" s="101">
        <v>150</v>
      </c>
      <c r="E982" s="25"/>
      <c r="F982" s="99">
        <v>0.38</v>
      </c>
    </row>
    <row r="983" spans="2:6" x14ac:dyDescent="0.2">
      <c r="B983" s="36" t="s">
        <v>353</v>
      </c>
      <c r="C983" s="176" t="s">
        <v>369</v>
      </c>
      <c r="D983" s="63" t="s">
        <v>154</v>
      </c>
      <c r="E983" s="4">
        <v>5.5</v>
      </c>
      <c r="F983" s="38">
        <v>0.67</v>
      </c>
    </row>
    <row r="984" spans="2:6" x14ac:dyDescent="0.2">
      <c r="B984" s="36" t="s">
        <v>353</v>
      </c>
      <c r="C984" s="176" t="s">
        <v>369</v>
      </c>
      <c r="D984" s="63" t="s">
        <v>777</v>
      </c>
      <c r="E984" s="4">
        <v>6</v>
      </c>
      <c r="F984" s="38">
        <v>0.51</v>
      </c>
    </row>
    <row r="985" spans="2:6" x14ac:dyDescent="0.2">
      <c r="B985" s="36" t="s">
        <v>353</v>
      </c>
      <c r="C985" s="176" t="s">
        <v>369</v>
      </c>
      <c r="D985" s="63" t="s">
        <v>184</v>
      </c>
      <c r="E985" s="4">
        <v>4.3</v>
      </c>
      <c r="F985" s="38">
        <v>0.77</v>
      </c>
    </row>
    <row r="986" spans="2:6" x14ac:dyDescent="0.2">
      <c r="B986" s="36" t="s">
        <v>353</v>
      </c>
      <c r="C986" s="176" t="s">
        <v>369</v>
      </c>
      <c r="D986" s="36">
        <v>130</v>
      </c>
      <c r="E986" s="44">
        <v>2.94</v>
      </c>
      <c r="F986" s="45">
        <v>0.31</v>
      </c>
    </row>
    <row r="987" spans="2:6" x14ac:dyDescent="0.2">
      <c r="B987" s="30" t="s">
        <v>353</v>
      </c>
      <c r="C987" s="30" t="s">
        <v>369</v>
      </c>
      <c r="D987" s="30">
        <v>40</v>
      </c>
      <c r="E987" s="101" t="s">
        <v>2735</v>
      </c>
      <c r="F987" s="99">
        <f>2.12-0.152-0.212-0.042-0.172-0.074-0.04-0.04-0.115-0.04-0.032-0.114-0.038-0.162-0.078-0.04-0.034-0.056-0.158</f>
        <v>0.5209999999999998</v>
      </c>
    </row>
    <row r="988" spans="2:6" x14ac:dyDescent="0.2">
      <c r="B988" s="30" t="s">
        <v>353</v>
      </c>
      <c r="C988" s="30" t="s">
        <v>369</v>
      </c>
      <c r="D988" s="30">
        <v>45</v>
      </c>
      <c r="E988" s="101" t="s">
        <v>2736</v>
      </c>
      <c r="F988" s="99">
        <f>0.044+0.425+0.051-0.055-0.112-0.1</f>
        <v>0.253</v>
      </c>
    </row>
    <row r="989" spans="2:6" x14ac:dyDescent="0.2">
      <c r="B989" s="36" t="s">
        <v>353</v>
      </c>
      <c r="C989" s="94" t="s">
        <v>799</v>
      </c>
      <c r="D989" s="62" t="s">
        <v>385</v>
      </c>
      <c r="E989" s="70">
        <v>1</v>
      </c>
      <c r="F989" s="70">
        <v>1.84</v>
      </c>
    </row>
    <row r="990" spans="2:6" x14ac:dyDescent="0.2">
      <c r="B990" s="36" t="s">
        <v>353</v>
      </c>
      <c r="C990" s="176" t="s">
        <v>846</v>
      </c>
      <c r="D990" s="36">
        <v>28</v>
      </c>
      <c r="E990" s="44">
        <v>2.5</v>
      </c>
      <c r="F990" s="46">
        <v>0.19</v>
      </c>
    </row>
    <row r="991" spans="2:6" x14ac:dyDescent="0.2">
      <c r="B991" s="36" t="s">
        <v>353</v>
      </c>
      <c r="C991" s="176" t="s">
        <v>370</v>
      </c>
      <c r="D991" s="36">
        <v>50</v>
      </c>
      <c r="E991" s="44" t="s">
        <v>798</v>
      </c>
      <c r="F991" s="45">
        <v>4.63</v>
      </c>
    </row>
    <row r="992" spans="2:6" x14ac:dyDescent="0.2">
      <c r="B992" s="36" t="s">
        <v>353</v>
      </c>
      <c r="C992" s="176" t="s">
        <v>370</v>
      </c>
      <c r="D992" s="36">
        <v>60</v>
      </c>
      <c r="E992" s="44">
        <v>3</v>
      </c>
      <c r="F992" s="45">
        <v>0.67</v>
      </c>
    </row>
    <row r="993" spans="2:6" x14ac:dyDescent="0.2">
      <c r="B993" s="36" t="s">
        <v>353</v>
      </c>
      <c r="C993" s="94" t="s">
        <v>809</v>
      </c>
      <c r="D993" s="62" t="s">
        <v>810</v>
      </c>
      <c r="E993" s="70" t="s">
        <v>811</v>
      </c>
      <c r="F993" s="70">
        <v>0.21</v>
      </c>
    </row>
    <row r="994" spans="2:6" x14ac:dyDescent="0.2">
      <c r="B994" s="36" t="s">
        <v>353</v>
      </c>
      <c r="C994" s="94" t="s">
        <v>809</v>
      </c>
      <c r="D994" s="62" t="s">
        <v>383</v>
      </c>
      <c r="E994" s="70">
        <v>0.96</v>
      </c>
      <c r="F994" s="70">
        <v>0.55000000000000004</v>
      </c>
    </row>
    <row r="995" spans="2:6" x14ac:dyDescent="0.2">
      <c r="B995" s="36" t="s">
        <v>353</v>
      </c>
      <c r="C995" s="94" t="s">
        <v>828</v>
      </c>
      <c r="D995" s="62">
        <v>55</v>
      </c>
      <c r="E995" s="70">
        <v>2.72</v>
      </c>
      <c r="F995" s="70">
        <v>0.42</v>
      </c>
    </row>
    <row r="996" spans="2:6" x14ac:dyDescent="0.2">
      <c r="B996" s="36" t="s">
        <v>353</v>
      </c>
      <c r="C996" s="176" t="s">
        <v>374</v>
      </c>
      <c r="D996" s="36">
        <v>45</v>
      </c>
      <c r="E996" s="44" t="s">
        <v>296</v>
      </c>
      <c r="F996" s="46">
        <v>4.46</v>
      </c>
    </row>
    <row r="997" spans="2:6" x14ac:dyDescent="0.2">
      <c r="B997" s="30" t="s">
        <v>353</v>
      </c>
      <c r="C997" s="30" t="s">
        <v>374</v>
      </c>
      <c r="D997" s="30">
        <v>75</v>
      </c>
      <c r="E997" s="101" t="s">
        <v>2740</v>
      </c>
      <c r="F997" s="34">
        <f>0.612+0.104-0.104</f>
        <v>0.61199999999999999</v>
      </c>
    </row>
    <row r="998" spans="2:6" x14ac:dyDescent="0.2">
      <c r="B998" s="30" t="s">
        <v>353</v>
      </c>
      <c r="C998" s="30" t="s">
        <v>374</v>
      </c>
      <c r="D998" s="30">
        <v>170</v>
      </c>
      <c r="E998" s="101"/>
      <c r="F998" s="99">
        <f>0.44-0.32</f>
        <v>0.12</v>
      </c>
    </row>
    <row r="999" spans="2:6" x14ac:dyDescent="0.2">
      <c r="B999" s="101" t="s">
        <v>353</v>
      </c>
      <c r="C999" s="30" t="s">
        <v>374</v>
      </c>
      <c r="D999" s="101">
        <v>50</v>
      </c>
      <c r="E999" s="25"/>
      <c r="F999" s="99">
        <v>0.08</v>
      </c>
    </row>
    <row r="1000" spans="2:6" x14ac:dyDescent="0.2">
      <c r="B1000" s="101" t="s">
        <v>353</v>
      </c>
      <c r="C1000" s="30" t="s">
        <v>374</v>
      </c>
      <c r="D1000" s="101">
        <v>60</v>
      </c>
      <c r="E1000" s="25"/>
      <c r="F1000" s="99">
        <f>0.345-0.14+2.41-0.39-0.12-0.06-0.055</f>
        <v>1.99</v>
      </c>
    </row>
    <row r="1001" spans="2:6" x14ac:dyDescent="0.2">
      <c r="B1001" s="101" t="s">
        <v>353</v>
      </c>
      <c r="C1001" s="30" t="s">
        <v>1594</v>
      </c>
      <c r="D1001" s="101">
        <v>100</v>
      </c>
      <c r="E1001" s="183"/>
      <c r="F1001" s="99">
        <v>0.14000000000000001</v>
      </c>
    </row>
    <row r="1002" spans="2:6" x14ac:dyDescent="0.2">
      <c r="B1002" s="30" t="s">
        <v>353</v>
      </c>
      <c r="C1002" s="30" t="s">
        <v>373</v>
      </c>
      <c r="D1002" s="30">
        <v>52</v>
      </c>
      <c r="E1002" s="101" t="s">
        <v>2739</v>
      </c>
      <c r="F1002" s="34">
        <f>0.728-0.055-0.11-0.058</f>
        <v>0.50499999999999989</v>
      </c>
    </row>
    <row r="1003" spans="2:6" x14ac:dyDescent="0.2">
      <c r="B1003" s="30" t="s">
        <v>353</v>
      </c>
      <c r="C1003" s="30" t="s">
        <v>373</v>
      </c>
      <c r="D1003" s="30">
        <v>200</v>
      </c>
      <c r="E1003" s="101">
        <v>1.6</v>
      </c>
      <c r="F1003" s="99">
        <v>0.39600000000000002</v>
      </c>
    </row>
    <row r="1004" spans="2:6" x14ac:dyDescent="0.2">
      <c r="B1004" s="101" t="s">
        <v>353</v>
      </c>
      <c r="C1004" s="30" t="s">
        <v>373</v>
      </c>
      <c r="D1004" s="101">
        <v>22</v>
      </c>
      <c r="E1004" s="183"/>
      <c r="F1004" s="99">
        <f>0.46-0.095-0.105-0.105</f>
        <v>0.15500000000000003</v>
      </c>
    </row>
    <row r="1005" spans="2:6" x14ac:dyDescent="0.2">
      <c r="B1005" s="101" t="s">
        <v>353</v>
      </c>
      <c r="C1005" s="30" t="s">
        <v>373</v>
      </c>
      <c r="D1005" s="101">
        <v>30</v>
      </c>
      <c r="E1005" s="25"/>
      <c r="F1005" s="99">
        <f>1.75-0.1+0.1</f>
        <v>1.75</v>
      </c>
    </row>
    <row r="1006" spans="2:6" x14ac:dyDescent="0.2">
      <c r="B1006" s="101" t="s">
        <v>353</v>
      </c>
      <c r="C1006" s="30" t="s">
        <v>373</v>
      </c>
      <c r="D1006" s="101">
        <v>60</v>
      </c>
      <c r="E1006" s="25"/>
      <c r="F1006" s="99">
        <v>0.27</v>
      </c>
    </row>
    <row r="1007" spans="2:6" x14ac:dyDescent="0.2">
      <c r="B1007" s="101" t="s">
        <v>353</v>
      </c>
      <c r="C1007" s="30" t="s">
        <v>373</v>
      </c>
      <c r="D1007" s="101">
        <v>160</v>
      </c>
      <c r="E1007" s="25"/>
      <c r="F1007" s="99">
        <v>0.27</v>
      </c>
    </row>
    <row r="1008" spans="2:6" x14ac:dyDescent="0.2">
      <c r="B1008" s="30" t="s">
        <v>353</v>
      </c>
      <c r="C1008" s="30" t="s">
        <v>375</v>
      </c>
      <c r="D1008" s="30">
        <v>80</v>
      </c>
      <c r="E1008" s="101">
        <v>4.9000000000000004</v>
      </c>
      <c r="F1008" s="99">
        <v>1.17</v>
      </c>
    </row>
    <row r="1009" spans="2:6" x14ac:dyDescent="0.2">
      <c r="B1009" s="101" t="s">
        <v>353</v>
      </c>
      <c r="C1009" s="30" t="s">
        <v>1751</v>
      </c>
      <c r="D1009" s="101" t="s">
        <v>1752</v>
      </c>
      <c r="E1009" s="183"/>
      <c r="F1009" s="99"/>
    </row>
    <row r="1010" spans="2:6" x14ac:dyDescent="0.2">
      <c r="B1010" s="30" t="s">
        <v>353</v>
      </c>
      <c r="C1010" s="30" t="s">
        <v>397</v>
      </c>
      <c r="D1010" s="30">
        <v>14</v>
      </c>
      <c r="E1010" s="101"/>
      <c r="F1010" s="99">
        <v>0.432</v>
      </c>
    </row>
    <row r="1011" spans="2:6" x14ac:dyDescent="0.2">
      <c r="B1011" s="30" t="s">
        <v>353</v>
      </c>
      <c r="C1011" s="30" t="s">
        <v>397</v>
      </c>
      <c r="D1011" s="30">
        <v>48</v>
      </c>
      <c r="E1011" s="101"/>
      <c r="F1011" s="99">
        <v>3.2000000000000001E-2</v>
      </c>
    </row>
    <row r="1012" spans="2:6" x14ac:dyDescent="0.2">
      <c r="B1012" s="30" t="s">
        <v>353</v>
      </c>
      <c r="C1012" s="30" t="s">
        <v>397</v>
      </c>
      <c r="D1012" s="30">
        <v>50</v>
      </c>
      <c r="E1012" s="101"/>
      <c r="F1012" s="99">
        <v>0.05</v>
      </c>
    </row>
    <row r="1013" spans="2:6" x14ac:dyDescent="0.2">
      <c r="B1013" s="36" t="s">
        <v>353</v>
      </c>
      <c r="C1013" s="176" t="s">
        <v>376</v>
      </c>
      <c r="D1013" s="36">
        <v>18</v>
      </c>
      <c r="E1013" s="44">
        <v>4</v>
      </c>
      <c r="F1013" s="45">
        <v>0.39</v>
      </c>
    </row>
    <row r="1014" spans="2:6" x14ac:dyDescent="0.2">
      <c r="B1014" s="36" t="s">
        <v>353</v>
      </c>
      <c r="C1014" s="176" t="s">
        <v>376</v>
      </c>
      <c r="D1014" s="36">
        <v>85</v>
      </c>
      <c r="E1014" s="44">
        <v>2.63</v>
      </c>
      <c r="F1014" s="45">
        <v>0.11700000000000001</v>
      </c>
    </row>
    <row r="1015" spans="2:6" x14ac:dyDescent="0.2">
      <c r="B1015" s="30" t="s">
        <v>353</v>
      </c>
      <c r="C1015" s="30" t="s">
        <v>376</v>
      </c>
      <c r="D1015" s="30">
        <v>12</v>
      </c>
      <c r="E1015" s="101">
        <v>4</v>
      </c>
      <c r="F1015" s="99">
        <f>1.028+1.018-0.003-0.004-0.055-0.1-0.02-0.045-0.01-0.01-0.198-0.03-0.042-0.014-0.004-0.004-0.01-0.018-0.3-0.03-0.126-0.004-0.02-0.106-0.014-0.004-0.004-0.074</f>
        <v>0.79700000000000015</v>
      </c>
    </row>
    <row r="1016" spans="2:6" x14ac:dyDescent="0.2">
      <c r="B1016" s="30" t="s">
        <v>353</v>
      </c>
      <c r="C1016" s="30" t="s">
        <v>376</v>
      </c>
      <c r="D1016" s="30">
        <v>20</v>
      </c>
      <c r="E1016" s="101"/>
      <c r="F1016" s="180"/>
    </row>
    <row r="1017" spans="2:6" x14ac:dyDescent="0.2">
      <c r="B1017" s="30" t="s">
        <v>353</v>
      </c>
      <c r="C1017" s="30" t="s">
        <v>376</v>
      </c>
      <c r="D1017" s="30">
        <v>26</v>
      </c>
      <c r="E1017" s="101">
        <v>4.9000000000000004</v>
      </c>
      <c r="F1017" s="99">
        <f>2.66-0.038-0.25+(0.01)+4.44-0.018-2.012-0.058-0.22-0.295-2.002-0.215-1.958-(0.044)+3.53-0.045-0.02-0.464-0.04-0.23-1.155-0.02-0.06-1.54+(0.044)+2.04-0.02-0.02+1.75+3.17-0.02-2.02-0.02-0.04-0.02-0.02-1.015-0.031-0.02-2.02-0.02-0.06-0.052+2.77-0.1-0.04-0.045-2.07-0.02-0.066-0.02+3.2-0.018-0.02-1.005-0.038-0.058-0.022-0.018-0.206-0.112-0.018-1.984-0.042-0.042-0.02-0.02-0.1-0.02-0.04-0.024-0.06-0.02-0.042-0.001-0.1-0.02-0.06-0.024-0.022-0.02</f>
        <v>0.99500000000000499</v>
      </c>
    </row>
    <row r="1018" spans="2:6" x14ac:dyDescent="0.2">
      <c r="B1018" s="30" t="s">
        <v>353</v>
      </c>
      <c r="C1018" s="30" t="s">
        <v>376</v>
      </c>
      <c r="D1018" s="30">
        <v>32</v>
      </c>
      <c r="E1018" s="101" t="s">
        <v>2741</v>
      </c>
      <c r="F1018" s="99">
        <f>3.02-0.11-0.195-0.054-0.11-0.03-0.028-0.19-0.11-0.244-0.026-0.08-0.014-0.026-0.028-0.07-0.028-0.028-0.108-0.11-0.054-0.056-0.136-0.326-0.326-0.082-0.354-0.028-0.028+2.83</f>
        <v>2.8710000000000004</v>
      </c>
    </row>
    <row r="1019" spans="2:6" x14ac:dyDescent="0.2">
      <c r="B1019" s="30" t="s">
        <v>353</v>
      </c>
      <c r="C1019" s="30" t="s">
        <v>376</v>
      </c>
      <c r="D1019" s="30">
        <v>40</v>
      </c>
      <c r="E1019" s="101">
        <v>4.8</v>
      </c>
      <c r="F1019" s="34">
        <f>2.61-0.2-0.186-0.046</f>
        <v>2.1779999999999999</v>
      </c>
    </row>
    <row r="1020" spans="2:6" x14ac:dyDescent="0.2">
      <c r="B1020" s="30" t="s">
        <v>353</v>
      </c>
      <c r="C1020" s="30" t="s">
        <v>376</v>
      </c>
      <c r="D1020" s="30">
        <v>50</v>
      </c>
      <c r="E1020" s="101" t="s">
        <v>28</v>
      </c>
      <c r="F1020" s="34">
        <f>2.94-0.085-0.1-0.085-0.08-0.16-0.082-0.08+0.048+0.046-0.03-0.11-0.3-0.048-0.008-1.885+(0.019)+1.48+1.84-0.06-0.075-0.06-0.075-0.28-0.07-0.07-0.565-0.075-0.315-0.66-0.084-0.13-0.335-0.07-0.06+1.01-0.085+2.98-0.432-0.016-0.015-0.232-0.04-0.32-0.068+0.076-0.088-0.17-0.046-0.512-0.09-0.086-0.072-0.004-0.236-0.04-0.07-0.164-0.512-0.084-0.07-0.086-0.088-0.086-0.074</f>
        <v>0.61599999999999988</v>
      </c>
    </row>
    <row r="1021" spans="2:6" x14ac:dyDescent="0.2">
      <c r="B1021" s="30" t="s">
        <v>353</v>
      </c>
      <c r="C1021" s="30" t="s">
        <v>376</v>
      </c>
      <c r="D1021" s="30">
        <v>60</v>
      </c>
      <c r="E1021" s="101" t="s">
        <v>2742</v>
      </c>
      <c r="F1021" s="34">
        <f>1.908+3.5-1.915-0.485-0.09-0.7-0.08-0.075-0.465-0.108-0.1-0.34-0.085-0.2-0.1-0.2-0.1-0.105+2.86-0.64-0.32-0.064-0.12-0.235-0.05-0.022-0.052-0.102-0.098-0.446-0.212-0.336-0.104-0.114+0.058+1.66-0.126-0.072-0.21-0.034-0.316-0.086-0.79-0.178-0.052+2.83-0.546-0.112-0.112-0.114-0.106-0.102</f>
        <v>1.7969999999999979</v>
      </c>
    </row>
    <row r="1022" spans="2:6" x14ac:dyDescent="0.2">
      <c r="B1022" s="30" t="s">
        <v>353</v>
      </c>
      <c r="C1022" s="30" t="s">
        <v>376</v>
      </c>
      <c r="D1022" s="30">
        <v>70</v>
      </c>
      <c r="E1022" s="101"/>
      <c r="F1022" s="180"/>
    </row>
    <row r="1023" spans="2:6" x14ac:dyDescent="0.2">
      <c r="B1023" s="30" t="s">
        <v>353</v>
      </c>
      <c r="C1023" s="30" t="s">
        <v>376</v>
      </c>
      <c r="D1023" s="30">
        <v>80</v>
      </c>
      <c r="E1023" s="101">
        <v>5.58</v>
      </c>
      <c r="F1023" s="34">
        <f>4.07-0.008-0.082-0.048-0.21</f>
        <v>3.7220000000000004</v>
      </c>
    </row>
    <row r="1024" spans="2:6" x14ac:dyDescent="0.2">
      <c r="B1024" s="30" t="s">
        <v>353</v>
      </c>
      <c r="C1024" s="30" t="s">
        <v>376</v>
      </c>
      <c r="D1024" s="30">
        <v>90</v>
      </c>
      <c r="E1024" s="101">
        <v>2.33</v>
      </c>
      <c r="F1024" s="34">
        <f>3.98-0.185-0.05-0.044-0.264-0.122-0.16-0.15-0.028-0.058-0.12-0.322-0.204-0.364-0.096-0.21</f>
        <v>1.6030000000000002</v>
      </c>
    </row>
    <row r="1025" spans="2:6" x14ac:dyDescent="0.2">
      <c r="B1025" s="30" t="s">
        <v>353</v>
      </c>
      <c r="C1025" s="30" t="s">
        <v>376</v>
      </c>
      <c r="D1025" s="30" t="s">
        <v>2643</v>
      </c>
      <c r="E1025" s="101" t="s">
        <v>2743</v>
      </c>
      <c r="F1025" s="34">
        <f>1.058-0.56+(0.56)-0.416-0.144</f>
        <v>0.49800000000000011</v>
      </c>
    </row>
    <row r="1026" spans="2:6" x14ac:dyDescent="0.2">
      <c r="B1026" s="30" t="s">
        <v>353</v>
      </c>
      <c r="C1026" s="30" t="s">
        <v>376</v>
      </c>
      <c r="D1026" s="30">
        <v>100</v>
      </c>
      <c r="E1026" s="101" t="s">
        <v>2744</v>
      </c>
      <c r="F1026" s="34">
        <f>0.966-0.966+1.79-0.048+3.56-0.03-0.016-0.446-0.198-0.232-0.494-0.296-0.092-0.306-0.48-0.61-0.04-0.45-0.612-0.116-0.412-0.046-0.02-0.242-0.034+2.55-0.122-0.306-0.098-0.326-0.35-0.016-0.198-0.104-0.32</f>
        <v>0.83999999999999919</v>
      </c>
    </row>
    <row r="1027" spans="2:6" x14ac:dyDescent="0.2">
      <c r="B1027" s="30" t="s">
        <v>353</v>
      </c>
      <c r="C1027" s="30" t="s">
        <v>376</v>
      </c>
      <c r="D1027" s="30">
        <v>110</v>
      </c>
      <c r="E1027" s="101" t="s">
        <v>2745</v>
      </c>
      <c r="F1027" s="34">
        <f>2.13-0.116-0.925-0.605-0.032-0.048-0.188+(0.076)-0.154+3.18-0.024-0.018-0.314-0.11-1.662-0.48-0.096</f>
        <v>0.61400000000000043</v>
      </c>
    </row>
    <row r="1028" spans="2:6" x14ac:dyDescent="0.2">
      <c r="B1028" s="30" t="s">
        <v>353</v>
      </c>
      <c r="C1028" s="30" t="s">
        <v>376</v>
      </c>
      <c r="D1028" s="30">
        <v>120</v>
      </c>
      <c r="E1028" s="101" t="s">
        <v>2746</v>
      </c>
      <c r="F1028" s="34">
        <f>4.2-0.19-0.134-0.266-0.148-0.178-0.01+2.3-0.488+(0.077)-0.066-0.126-0.088-0.248-1.114-0.028-0.094-0.554-0.088-0.061-0.13-0.22-0.036-0.042-0.176-0.132-0.042-0.232-0.026-0.268-0.132-0.02-0.17+2.81-0.014-0.134</f>
        <v>3.7319999999999998</v>
      </c>
    </row>
    <row r="1029" spans="2:6" x14ac:dyDescent="0.2">
      <c r="B1029" s="30" t="s">
        <v>353</v>
      </c>
      <c r="C1029" s="30" t="s">
        <v>376</v>
      </c>
      <c r="D1029" s="30">
        <v>130</v>
      </c>
      <c r="E1029" s="101">
        <v>5.3</v>
      </c>
      <c r="F1029" s="34">
        <f>3.91-0.01-0.158-0.014-0.022-0.024-0.158</f>
        <v>3.5240000000000009</v>
      </c>
    </row>
    <row r="1030" spans="2:6" x14ac:dyDescent="0.2">
      <c r="B1030" s="30" t="s">
        <v>353</v>
      </c>
      <c r="C1030" s="30" t="s">
        <v>376</v>
      </c>
      <c r="D1030" s="30">
        <v>140</v>
      </c>
      <c r="E1030" s="101" t="s">
        <v>2747</v>
      </c>
      <c r="F1030" s="99">
        <f>3.04-0.044-0.12-0.065-0.03-0.185-0.03-0.12-0.12-0.502-0.51-0.214-0.17-0.122-0.028-0.18-0.008-0.012+3.02-0.192+(0.045)-0.122-0.208-0.498-0.36-0.282-0.122-0.5-0.048-0.118-0.24-0.246-0.036-0.05-0.134-0.254-0.062+3.29-0.08-0.118-0.068-0.07-0.034-0.06-0.072-1.642-0.068-0.274-0.18-0.24</f>
        <v>0.55700000000000038</v>
      </c>
    </row>
    <row r="1031" spans="2:6" x14ac:dyDescent="0.2">
      <c r="B1031" s="30" t="s">
        <v>353</v>
      </c>
      <c r="C1031" s="30" t="s">
        <v>376</v>
      </c>
      <c r="D1031" s="30">
        <v>150</v>
      </c>
      <c r="E1031" s="101">
        <v>2.1</v>
      </c>
      <c r="F1031" s="34">
        <f>2.9-0.274-0.496-0.272-0.052-0.214-0.21</f>
        <v>1.3819999999999999</v>
      </c>
    </row>
    <row r="1032" spans="2:6" x14ac:dyDescent="0.2">
      <c r="B1032" s="30" t="s">
        <v>353</v>
      </c>
      <c r="C1032" s="30" t="s">
        <v>376</v>
      </c>
      <c r="D1032" s="30">
        <v>160</v>
      </c>
      <c r="E1032" s="101" t="s">
        <v>2748</v>
      </c>
      <c r="F1032" s="34">
        <v>3.28</v>
      </c>
    </row>
    <row r="1033" spans="2:6" x14ac:dyDescent="0.2">
      <c r="B1033" s="30" t="s">
        <v>353</v>
      </c>
      <c r="C1033" s="30" t="s">
        <v>376</v>
      </c>
      <c r="D1033" s="30">
        <v>170</v>
      </c>
      <c r="E1033" s="101" t="s">
        <v>2749</v>
      </c>
      <c r="F1033" s="34">
        <f>2.99-3.01+(0.02)+3.85-0.214-0.11-0.03-0.142-0.238-0.018-0.196-0.362-0.09-0.126-0.556-0.056-0.092-0.124-0.022-0.264-0.212-0.028-0.216-0.302-0.012-0.054</f>
        <v>0.3860000000000009</v>
      </c>
    </row>
    <row r="1034" spans="2:6" x14ac:dyDescent="0.2">
      <c r="B1034" s="30" t="s">
        <v>353</v>
      </c>
      <c r="C1034" s="30" t="s">
        <v>376</v>
      </c>
      <c r="D1034" s="30">
        <v>180</v>
      </c>
      <c r="E1034" s="101"/>
      <c r="F1034" s="99">
        <f>2.86+2.84-2.865-0.012-0.198-0.12-0.186-1.476-0.2-0.694+(0.051)+3.02-0.396-0.082-0.14-0.1-0.15-0.106-0.296-0.178-0.362+1.68-0.54-0.422-0.022+2.01-0.022-0.038-0.874-0.098-0.042-0.008-0.098-0.198-0.24-0.074-0.14-0.118-0.992-0.1-0.202-0.016-0.216+3.16-0.032-0.218-0.064-0.264-0.098-0.638-0.105-0.046-0.238-0.02-1.342-0.198-0.024</f>
        <v>0.31300000000000056</v>
      </c>
    </row>
    <row r="1035" spans="2:6" x14ac:dyDescent="0.2">
      <c r="B1035" s="30" t="s">
        <v>353</v>
      </c>
      <c r="C1035" s="30" t="s">
        <v>376</v>
      </c>
      <c r="D1035" s="30">
        <v>190</v>
      </c>
      <c r="E1035" s="101" t="s">
        <v>2710</v>
      </c>
      <c r="F1035" s="99">
        <f>4.49-1.028-0.044-0.052</f>
        <v>3.3660000000000001</v>
      </c>
    </row>
    <row r="1036" spans="2:6" x14ac:dyDescent="0.2">
      <c r="B1036" s="30" t="s">
        <v>353</v>
      </c>
      <c r="C1036" s="30" t="s">
        <v>376</v>
      </c>
      <c r="D1036" s="30">
        <v>200</v>
      </c>
      <c r="E1036" s="101" t="s">
        <v>2750</v>
      </c>
      <c r="F1036" s="34">
        <f>4.35-0.49-0.346-0.026-0.054-0.646</f>
        <v>2.7879999999999998</v>
      </c>
    </row>
    <row r="1037" spans="2:6" x14ac:dyDescent="0.2">
      <c r="B1037" s="30" t="s">
        <v>353</v>
      </c>
      <c r="C1037" s="30" t="s">
        <v>376</v>
      </c>
      <c r="D1037" s="30">
        <v>210</v>
      </c>
      <c r="E1037" s="101" t="s">
        <v>2751</v>
      </c>
      <c r="F1037" s="34">
        <f>3.71+3.56-0.076-2.14-0.402-0.274-0.076-0.07-0.168-0.198-0.308-0.45-0.094-0.194-0.038-0.062+5.36-0.07</f>
        <v>8.0100000000000016</v>
      </c>
    </row>
    <row r="1038" spans="2:6" x14ac:dyDescent="0.2">
      <c r="B1038" s="30" t="s">
        <v>353</v>
      </c>
      <c r="C1038" s="30" t="s">
        <v>376</v>
      </c>
      <c r="D1038" s="30">
        <v>220</v>
      </c>
      <c r="E1038" s="101">
        <v>3.3</v>
      </c>
      <c r="F1038" s="34">
        <f>2.67-0.106-0.47-0.024-0.318-0.252-0.218-0.116+2.7-0.065-0.44-0.25-0.296-0.53-0.062-0.118-0.22-0.072-0.22-0.895+2.78-0.06-0.086-0.29-0.02-0.05-0.108-0.92-0.85-0.018-0.268-0.108-0.064-0.234-0.224+3.92-0.298-0.06-0.612-2.576-0.066-0.36+4.12-0.15-0.064-0.238-0.06-0.174-0.086-0.198-0.054-0.718-0.022-0.326-0.48</f>
        <v>1.6760000000000006</v>
      </c>
    </row>
    <row r="1039" spans="2:6" x14ac:dyDescent="0.2">
      <c r="B1039" s="30" t="s">
        <v>353</v>
      </c>
      <c r="C1039" s="30" t="s">
        <v>376</v>
      </c>
      <c r="D1039" s="30">
        <v>230</v>
      </c>
      <c r="E1039" s="101">
        <v>3.33</v>
      </c>
      <c r="F1039" s="99">
        <f>3.84-0.092-0.79-0.02-0.276-0.326-0.952-0.058-0.108-0.028-0.06-0.61-0.52+4.45-2.666-0.972-0.706+3.76-0.646-0.164-0.65-0.88-0.118-0.122-0.98+2.2-0.244-0.142-0.212-0.164-0.51-0.216-0.36-0.368+2.43-0.016-1.186-1.232+3.39-1.1-0.066-0.186-0.052-0.052+4.47-0.328-0.116-0.042-0.162-0.118-1.184-1.182-0.502-0.096-0.104-0.542-0.1-0.246-0.028-0.162-0.24-0.274-0.37-0.074-0.162-0.01-0.198-0.054+2.28-0.346-0.492-0.37-0.225+3.73-0.485+0.96-0.148-0.196-0.634-0.172-0.162-0.758-0.296-0.614-0.116-0.032-0.382-1.154+1.72+1.1-0.194-0.082-0.058-0.324-0.536-0.042-0.578-1.06-0.038-0.086-0.064+4.43-0.026-0.172-1.154-0.36-0.328-0.236-0.052-0.164-1.214-0.044-0.018-0.252-0.198-0.134-0.04+3.28-0.404-0.104-0.086-0.352</f>
        <v>2.9140000000000033</v>
      </c>
    </row>
    <row r="1040" spans="2:6" x14ac:dyDescent="0.2">
      <c r="B1040" s="30" t="s">
        <v>353</v>
      </c>
      <c r="C1040" s="30" t="s">
        <v>376</v>
      </c>
      <c r="D1040" s="30">
        <v>240</v>
      </c>
      <c r="E1040" s="101">
        <v>3.1</v>
      </c>
      <c r="F1040" s="34">
        <v>3.29</v>
      </c>
    </row>
    <row r="1041" spans="2:6" x14ac:dyDescent="0.2">
      <c r="B1041" s="30" t="s">
        <v>353</v>
      </c>
      <c r="C1041" s="30" t="s">
        <v>376</v>
      </c>
      <c r="D1041" s="30">
        <v>250</v>
      </c>
      <c r="E1041" s="101">
        <v>2.9</v>
      </c>
      <c r="F1041" s="34">
        <f>3.44-0.054-0.38-0.194-0.106-0.202-0.448-0.04-0.812</f>
        <v>1.2040000000000004</v>
      </c>
    </row>
    <row r="1042" spans="2:6" x14ac:dyDescent="0.2">
      <c r="B1042" s="30" t="s">
        <v>353</v>
      </c>
      <c r="C1042" s="30" t="s">
        <v>376</v>
      </c>
      <c r="D1042" s="30">
        <v>260</v>
      </c>
      <c r="E1042" s="101" t="s">
        <v>2752</v>
      </c>
      <c r="F1042" s="34">
        <f>3.49-0.824-0.312-0.25-0.824-0.064-0.345-0.185+2.39-0.465-0.315-0.53-0.066-0.086-0.046-0.68+2.4-0.936-0.31-1.2-0.068-0.088+1.18-0.202-1.205+2.31-0.328-0.496-1.122-0.046+3.57-0.226-1.2-0.37-0.246-0.482-0.076-0.724-0.048-0.45+2.31-0.206-0.078-0.216-0.03-0.172-0.22-0.03-0.1-0.434-0.29-0.156-0.086</f>
        <v>0.81699999999999906</v>
      </c>
    </row>
    <row r="1043" spans="2:6" x14ac:dyDescent="0.2">
      <c r="B1043" s="30" t="s">
        <v>353</v>
      </c>
      <c r="C1043" s="30" t="s">
        <v>376</v>
      </c>
      <c r="D1043" s="30">
        <v>270</v>
      </c>
      <c r="E1043" s="101"/>
      <c r="F1043" s="34">
        <f>1.58+1.13-0.442+2.85-0.222-0.19-1.955-0.696-0.062-0.034-0.202-0.292+3.43-0.785-0.2-0.045-0.51-0.202-0.278-0.094-0.14-0.09-0.424-0.268-0.134-0.41-0.232-0.024-0.366-0.224+(0.048)-0.032+4.3-0.036-0.046-0.612-0.15-0.016-0.514-0.24-0.916-0.038-0.118-0.118-0.024-0.038-0.046-0.052-0.136-0.158-0.232-0.426-0.154-0.066</f>
        <v>0.6489999999999998</v>
      </c>
    </row>
    <row r="1044" spans="2:6" x14ac:dyDescent="0.2">
      <c r="B1044" s="30" t="s">
        <v>353</v>
      </c>
      <c r="C1044" s="30" t="s">
        <v>376</v>
      </c>
      <c r="D1044" s="30">
        <v>280</v>
      </c>
      <c r="E1044" s="101" t="s">
        <v>2753</v>
      </c>
      <c r="F1044" s="34">
        <f>(0.136)+4.4-1.126+1.49-0.2+(0.2)-0.236-0.054-0.106-0.096-0.476-0.476+1.47-0.128-0.242-0.272-0.546-0.312-0.214-1.004</f>
        <v>2.2079999999999997</v>
      </c>
    </row>
    <row r="1045" spans="2:6" x14ac:dyDescent="0.2">
      <c r="B1045" s="101" t="s">
        <v>353</v>
      </c>
      <c r="C1045" s="30" t="s">
        <v>376</v>
      </c>
      <c r="D1045" s="101">
        <v>25</v>
      </c>
      <c r="E1045" s="183"/>
      <c r="F1045" s="99">
        <f>0.45-0.045-0.03-0.095-0.015-0.015-0.012-0.1</f>
        <v>0.13799999999999998</v>
      </c>
    </row>
    <row r="1046" spans="2:6" x14ac:dyDescent="0.2">
      <c r="B1046" s="101" t="s">
        <v>353</v>
      </c>
      <c r="C1046" s="30" t="s">
        <v>376</v>
      </c>
      <c r="D1046" s="101">
        <v>80</v>
      </c>
      <c r="E1046" s="183"/>
      <c r="F1046" s="99">
        <v>0.14000000000000001</v>
      </c>
    </row>
    <row r="1047" spans="2:6" x14ac:dyDescent="0.2">
      <c r="B1047" s="101" t="s">
        <v>353</v>
      </c>
      <c r="C1047" s="30" t="s">
        <v>1568</v>
      </c>
      <c r="D1047" s="101">
        <v>60</v>
      </c>
      <c r="E1047" s="25"/>
      <c r="F1047" s="99">
        <f>0.7-0.11</f>
        <v>0.59</v>
      </c>
    </row>
    <row r="1048" spans="2:6" x14ac:dyDescent="0.2">
      <c r="B1048" s="101" t="s">
        <v>353</v>
      </c>
      <c r="C1048" s="30" t="s">
        <v>1568</v>
      </c>
      <c r="D1048" s="101">
        <v>70</v>
      </c>
      <c r="E1048" s="183"/>
      <c r="F1048" s="99">
        <v>0.1</v>
      </c>
    </row>
    <row r="1049" spans="2:6" x14ac:dyDescent="0.2">
      <c r="B1049" s="101" t="s">
        <v>353</v>
      </c>
      <c r="C1049" s="30" t="s">
        <v>1568</v>
      </c>
      <c r="D1049" s="101">
        <v>80</v>
      </c>
      <c r="E1049" s="183"/>
      <c r="F1049" s="99">
        <v>0.37</v>
      </c>
    </row>
    <row r="1050" spans="2:6" x14ac:dyDescent="0.2">
      <c r="B1050" s="101" t="s">
        <v>353</v>
      </c>
      <c r="C1050" s="30" t="s">
        <v>1568</v>
      </c>
      <c r="D1050" s="101">
        <v>90</v>
      </c>
      <c r="E1050" s="25"/>
      <c r="F1050" s="99">
        <f>4.23-1.82-0.435-0.27</f>
        <v>1.7050000000000001</v>
      </c>
    </row>
    <row r="1051" spans="2:6" x14ac:dyDescent="0.2">
      <c r="B1051" s="101" t="s">
        <v>353</v>
      </c>
      <c r="C1051" s="30" t="s">
        <v>1568</v>
      </c>
      <c r="D1051" s="101">
        <v>100</v>
      </c>
      <c r="E1051" s="25"/>
      <c r="F1051" s="99">
        <v>0.55000000000000004</v>
      </c>
    </row>
    <row r="1052" spans="2:6" x14ac:dyDescent="0.2">
      <c r="B1052" s="101" t="s">
        <v>353</v>
      </c>
      <c r="C1052" s="30" t="s">
        <v>1568</v>
      </c>
      <c r="D1052" s="101">
        <v>100</v>
      </c>
      <c r="E1052" s="25"/>
      <c r="F1052" s="99">
        <f>0.5-0.255</f>
        <v>0.245</v>
      </c>
    </row>
    <row r="1053" spans="2:6" x14ac:dyDescent="0.2">
      <c r="B1053" s="101" t="s">
        <v>353</v>
      </c>
      <c r="C1053" s="30" t="s">
        <v>1568</v>
      </c>
      <c r="D1053" s="101">
        <v>150</v>
      </c>
      <c r="E1053" s="25"/>
      <c r="F1053" s="99">
        <v>0.48</v>
      </c>
    </row>
    <row r="1054" spans="2:6" x14ac:dyDescent="0.2">
      <c r="B1054" s="101" t="s">
        <v>353</v>
      </c>
      <c r="C1054" s="30" t="s">
        <v>1542</v>
      </c>
      <c r="D1054" s="101">
        <v>28</v>
      </c>
      <c r="E1054" s="101"/>
      <c r="F1054" s="99">
        <f>2-0.165-0.09-0.02-0.08-0.015-0.1-0.04-0.1-0.08-0.01-1.005</f>
        <v>0.29499999999999971</v>
      </c>
    </row>
    <row r="1055" spans="2:6" x14ac:dyDescent="0.2">
      <c r="B1055" s="101" t="s">
        <v>353</v>
      </c>
      <c r="C1055" s="30" t="s">
        <v>1536</v>
      </c>
      <c r="D1055" s="101">
        <v>21</v>
      </c>
      <c r="E1055" s="101"/>
      <c r="F1055" s="99">
        <f>1.82-0.255</f>
        <v>1.5649999999999999</v>
      </c>
    </row>
    <row r="1056" spans="2:6" x14ac:dyDescent="0.2">
      <c r="B1056" s="101" t="s">
        <v>353</v>
      </c>
      <c r="C1056" s="30" t="s">
        <v>1505</v>
      </c>
      <c r="D1056" s="101">
        <v>245</v>
      </c>
      <c r="E1056" s="183"/>
      <c r="F1056" s="99">
        <v>1.07</v>
      </c>
    </row>
    <row r="1057" spans="2:6" x14ac:dyDescent="0.2">
      <c r="B1057" s="4" t="s">
        <v>353</v>
      </c>
      <c r="C1057" s="177" t="s">
        <v>700</v>
      </c>
      <c r="D1057" s="37" t="s">
        <v>657</v>
      </c>
      <c r="E1057" s="5" t="s">
        <v>31</v>
      </c>
      <c r="F1057" s="39">
        <v>0.23</v>
      </c>
    </row>
    <row r="1058" spans="2:6" x14ac:dyDescent="0.2">
      <c r="B1058" s="4" t="s">
        <v>353</v>
      </c>
      <c r="C1058" s="173" t="s">
        <v>695</v>
      </c>
      <c r="D1058" s="63" t="s">
        <v>54</v>
      </c>
      <c r="E1058" s="4"/>
      <c r="F1058" s="38" t="s">
        <v>156</v>
      </c>
    </row>
    <row r="1059" spans="2:6" x14ac:dyDescent="0.2">
      <c r="B1059" s="4" t="s">
        <v>353</v>
      </c>
      <c r="C1059" s="173" t="s">
        <v>695</v>
      </c>
      <c r="D1059" s="37" t="s">
        <v>657</v>
      </c>
      <c r="E1059" s="4" t="s">
        <v>28</v>
      </c>
      <c r="F1059" s="39">
        <v>0.13</v>
      </c>
    </row>
    <row r="1060" spans="2:6" x14ac:dyDescent="0.2">
      <c r="B1060" s="101" t="s">
        <v>353</v>
      </c>
      <c r="C1060" s="30" t="s">
        <v>695</v>
      </c>
      <c r="D1060" s="101">
        <v>150</v>
      </c>
      <c r="E1060" s="183"/>
      <c r="F1060" s="99">
        <f>0.135+0.42</f>
        <v>0.55499999999999994</v>
      </c>
    </row>
    <row r="1061" spans="2:6" x14ac:dyDescent="0.2">
      <c r="B1061" s="101" t="s">
        <v>353</v>
      </c>
      <c r="C1061" s="30" t="s">
        <v>695</v>
      </c>
      <c r="D1061" s="101">
        <v>260</v>
      </c>
      <c r="E1061" s="183"/>
      <c r="F1061" s="99">
        <v>0.31</v>
      </c>
    </row>
    <row r="1062" spans="2:6" x14ac:dyDescent="0.2">
      <c r="B1062" s="30" t="s">
        <v>353</v>
      </c>
      <c r="C1062" s="30" t="s">
        <v>396</v>
      </c>
      <c r="D1062" s="30">
        <v>4</v>
      </c>
      <c r="E1062" s="101"/>
      <c r="F1062" s="99">
        <v>1.2E-2</v>
      </c>
    </row>
    <row r="1063" spans="2:6" x14ac:dyDescent="0.2">
      <c r="B1063" s="30" t="s">
        <v>353</v>
      </c>
      <c r="C1063" s="30" t="s">
        <v>396</v>
      </c>
      <c r="D1063" s="30">
        <v>10</v>
      </c>
      <c r="E1063" s="101"/>
      <c r="F1063" s="34">
        <f>0.395-0.1-0.03-0.052</f>
        <v>0.21300000000000002</v>
      </c>
    </row>
    <row r="1064" spans="2:6" x14ac:dyDescent="0.2">
      <c r="B1064" s="30" t="s">
        <v>353</v>
      </c>
      <c r="C1064" s="30" t="s">
        <v>396</v>
      </c>
      <c r="D1064" s="30">
        <v>12</v>
      </c>
      <c r="E1064" s="101"/>
      <c r="F1064" s="34">
        <f>0.45-0.106</f>
        <v>0.34400000000000003</v>
      </c>
    </row>
    <row r="1065" spans="2:6" x14ac:dyDescent="0.2">
      <c r="B1065" s="30" t="s">
        <v>353</v>
      </c>
      <c r="C1065" s="30" t="s">
        <v>396</v>
      </c>
      <c r="D1065" s="30">
        <v>16</v>
      </c>
      <c r="E1065" s="101"/>
      <c r="F1065" s="99">
        <f>0.551-0.202-0.01-0.016-0.202-0.068</f>
        <v>5.2999999999999992E-2</v>
      </c>
    </row>
    <row r="1066" spans="2:6" x14ac:dyDescent="0.2">
      <c r="B1066" s="30" t="s">
        <v>353</v>
      </c>
      <c r="C1066" s="30" t="s">
        <v>396</v>
      </c>
      <c r="D1066" s="30">
        <v>18</v>
      </c>
      <c r="E1066" s="101"/>
      <c r="F1066" s="34">
        <f>0.546-0.048</f>
        <v>0.49800000000000005</v>
      </c>
    </row>
    <row r="1067" spans="2:6" x14ac:dyDescent="0.2">
      <c r="B1067" s="167" t="s">
        <v>353</v>
      </c>
      <c r="C1067" s="30" t="s">
        <v>396</v>
      </c>
      <c r="D1067" s="167">
        <v>20</v>
      </c>
      <c r="E1067" s="106"/>
      <c r="F1067" s="181">
        <f>0.67-0.054-0.016-0.022</f>
        <v>0.57799999999999996</v>
      </c>
    </row>
    <row r="1068" spans="2:6" x14ac:dyDescent="0.2">
      <c r="B1068" s="167" t="s">
        <v>353</v>
      </c>
      <c r="C1068" s="30" t="s">
        <v>396</v>
      </c>
      <c r="D1068" s="167">
        <v>22</v>
      </c>
      <c r="E1068" s="106"/>
      <c r="F1068" s="181">
        <f>0.871-0.098</f>
        <v>0.77300000000000002</v>
      </c>
    </row>
    <row r="1069" spans="2:6" x14ac:dyDescent="0.2">
      <c r="B1069" s="167" t="s">
        <v>353</v>
      </c>
      <c r="C1069" s="30" t="s">
        <v>396</v>
      </c>
      <c r="D1069" s="167">
        <v>25</v>
      </c>
      <c r="E1069" s="106"/>
      <c r="F1069" s="181">
        <f>0.393-0.102</f>
        <v>0.29100000000000004</v>
      </c>
    </row>
    <row r="1070" spans="2:6" x14ac:dyDescent="0.2">
      <c r="B1070" s="167" t="s">
        <v>353</v>
      </c>
      <c r="C1070" s="30" t="s">
        <v>396</v>
      </c>
      <c r="D1070" s="167">
        <v>30</v>
      </c>
      <c r="E1070" s="106"/>
      <c r="F1070" s="181">
        <f>0.528-0.092-0.04-0.008</f>
        <v>0.38800000000000007</v>
      </c>
    </row>
    <row r="1071" spans="2:6" x14ac:dyDescent="0.2">
      <c r="B1071" s="167" t="s">
        <v>353</v>
      </c>
      <c r="C1071" s="30" t="s">
        <v>396</v>
      </c>
      <c r="D1071" s="167">
        <v>32</v>
      </c>
      <c r="E1071" s="106"/>
      <c r="F1071" s="181">
        <v>0.92400000000000004</v>
      </c>
    </row>
    <row r="1072" spans="2:6" x14ac:dyDescent="0.2">
      <c r="B1072" s="167" t="s">
        <v>353</v>
      </c>
      <c r="C1072" s="30" t="s">
        <v>396</v>
      </c>
      <c r="D1072" s="167">
        <v>36</v>
      </c>
      <c r="E1072" s="106"/>
      <c r="F1072" s="181">
        <f>0.3185-0.03-0.112-0.104-0.028-0.016</f>
        <v>2.8499999999999998E-2</v>
      </c>
    </row>
    <row r="1073" spans="2:6" x14ac:dyDescent="0.2">
      <c r="B1073" s="167" t="s">
        <v>353</v>
      </c>
      <c r="C1073" s="30" t="s">
        <v>396</v>
      </c>
      <c r="D1073" s="167">
        <v>38</v>
      </c>
      <c r="E1073" s="106"/>
      <c r="F1073" s="181">
        <v>0.33550000000000002</v>
      </c>
    </row>
    <row r="1074" spans="2:6" x14ac:dyDescent="0.2">
      <c r="B1074" s="167" t="s">
        <v>353</v>
      </c>
      <c r="C1074" s="30" t="s">
        <v>396</v>
      </c>
      <c r="D1074" s="167">
        <v>40</v>
      </c>
      <c r="E1074" s="106"/>
      <c r="F1074" s="181">
        <f>0.779-0.124-0.005-0.184-0.042-0.072-0.09+(0.014)-0.1-0.1+0.436</f>
        <v>0.51200000000000001</v>
      </c>
    </row>
    <row r="1075" spans="2:6" x14ac:dyDescent="0.2">
      <c r="B1075" s="167" t="s">
        <v>353</v>
      </c>
      <c r="C1075" s="30" t="s">
        <v>396</v>
      </c>
      <c r="D1075" s="167">
        <v>45</v>
      </c>
      <c r="E1075" s="106"/>
      <c r="F1075" s="181">
        <f>0.43-0.256-0.008-0.1-0.018</f>
        <v>4.7999999999999973E-2</v>
      </c>
    </row>
    <row r="1076" spans="2:6" x14ac:dyDescent="0.2">
      <c r="B1076" s="167" t="s">
        <v>353</v>
      </c>
      <c r="C1076" s="30" t="s">
        <v>396</v>
      </c>
      <c r="D1076" s="167">
        <v>50</v>
      </c>
      <c r="E1076" s="106"/>
      <c r="F1076" s="181">
        <f>0.63-0.196-0.11-0.008-0.09-0.028-0.168+0.625-0.018-0.012-0.05-0.068</f>
        <v>0.5069999999999999</v>
      </c>
    </row>
    <row r="1077" spans="2:6" x14ac:dyDescent="0.2">
      <c r="B1077" s="167" t="s">
        <v>353</v>
      </c>
      <c r="C1077" s="30" t="s">
        <v>396</v>
      </c>
      <c r="D1077" s="167">
        <v>55</v>
      </c>
      <c r="E1077" s="106"/>
      <c r="F1077" s="90">
        <f>0.212-0.022-0.072-0.064-0.025-0.022+0.2016-0.2016</f>
        <v>7.0000000000000062E-3</v>
      </c>
    </row>
    <row r="1078" spans="2:6" x14ac:dyDescent="0.2">
      <c r="B1078" s="167" t="s">
        <v>353</v>
      </c>
      <c r="C1078" s="30" t="s">
        <v>396</v>
      </c>
      <c r="D1078" s="167">
        <v>60</v>
      </c>
      <c r="E1078" s="106"/>
      <c r="F1078" s="181">
        <f>0.871-0.026-0.136-0.08-0.042</f>
        <v>0.58699999999999997</v>
      </c>
    </row>
    <row r="1079" spans="2:6" x14ac:dyDescent="0.2">
      <c r="B1079" s="167" t="s">
        <v>353</v>
      </c>
      <c r="C1079" s="30" t="s">
        <v>396</v>
      </c>
      <c r="D1079" s="167">
        <v>70</v>
      </c>
      <c r="E1079" s="106"/>
      <c r="F1079" s="181">
        <f>0.542-0.186-0.09-0.018-0.052+0.5-0.088-0.03</f>
        <v>0.57800000000000007</v>
      </c>
    </row>
    <row r="1080" spans="2:6" x14ac:dyDescent="0.2">
      <c r="B1080" s="167" t="s">
        <v>353</v>
      </c>
      <c r="C1080" s="30" t="s">
        <v>396</v>
      </c>
      <c r="D1080" s="167">
        <v>80</v>
      </c>
      <c r="E1080" s="106"/>
      <c r="F1080" s="181">
        <f>0.528-0.344-0.024+0.54-0.09-0.006</f>
        <v>0.60400000000000009</v>
      </c>
    </row>
    <row r="1081" spans="2:6" x14ac:dyDescent="0.2">
      <c r="B1081" s="167" t="s">
        <v>353</v>
      </c>
      <c r="C1081" s="30" t="s">
        <v>396</v>
      </c>
      <c r="D1081" s="167">
        <v>90</v>
      </c>
      <c r="E1081" s="106"/>
      <c r="F1081" s="181">
        <f>0.334-0.082</f>
        <v>0.252</v>
      </c>
    </row>
    <row r="1082" spans="2:6" x14ac:dyDescent="0.2">
      <c r="B1082" s="167" t="s">
        <v>353</v>
      </c>
      <c r="C1082" s="30" t="s">
        <v>396</v>
      </c>
      <c r="D1082" s="167">
        <v>100</v>
      </c>
      <c r="E1082" s="106"/>
      <c r="F1082" s="181">
        <f>0.524-0.05+(0.25)-(0.002)-0.148-0.162</f>
        <v>0.41199999999999992</v>
      </c>
    </row>
    <row r="1083" spans="2:6" x14ac:dyDescent="0.2">
      <c r="B1083" s="167" t="s">
        <v>353</v>
      </c>
      <c r="C1083" s="30" t="s">
        <v>396</v>
      </c>
      <c r="D1083" s="167">
        <v>120</v>
      </c>
      <c r="E1083" s="106"/>
      <c r="F1083" s="181">
        <f>0.614-0.156</f>
        <v>0.45799999999999996</v>
      </c>
    </row>
    <row r="1084" spans="2:6" x14ac:dyDescent="0.2">
      <c r="B1084" s="30" t="s">
        <v>353</v>
      </c>
      <c r="C1084" s="30" t="s">
        <v>395</v>
      </c>
      <c r="D1084" s="30">
        <v>28</v>
      </c>
      <c r="E1084" s="101"/>
      <c r="F1084" s="99">
        <f>0.014+0.1</f>
        <v>0.114</v>
      </c>
    </row>
    <row r="1085" spans="2:6" x14ac:dyDescent="0.2">
      <c r="B1085" s="30" t="s">
        <v>353</v>
      </c>
      <c r="C1085" s="30" t="s">
        <v>333</v>
      </c>
      <c r="D1085" s="30">
        <v>5</v>
      </c>
      <c r="E1085" s="101"/>
      <c r="F1085" s="99">
        <v>3.5999999999999997E-2</v>
      </c>
    </row>
    <row r="1086" spans="2:6" x14ac:dyDescent="0.2">
      <c r="B1086" s="30" t="s">
        <v>353</v>
      </c>
      <c r="C1086" s="30" t="s">
        <v>333</v>
      </c>
      <c r="D1086" s="30">
        <v>8</v>
      </c>
      <c r="E1086" s="101"/>
      <c r="F1086" s="99">
        <f>0.01+0.014+0.058-0.05+(0.199)+(0.005)-0.006-0.1</f>
        <v>0.13</v>
      </c>
    </row>
    <row r="1087" spans="2:6" x14ac:dyDescent="0.2">
      <c r="B1087" s="30" t="s">
        <v>353</v>
      </c>
      <c r="C1087" s="30" t="s">
        <v>333</v>
      </c>
      <c r="D1087" s="30">
        <v>9</v>
      </c>
      <c r="E1087" s="101"/>
      <c r="F1087" s="99">
        <f>0.036</f>
        <v>3.5999999999999997E-2</v>
      </c>
    </row>
    <row r="1088" spans="2:6" x14ac:dyDescent="0.2">
      <c r="B1088" s="30" t="s">
        <v>353</v>
      </c>
      <c r="C1088" s="30" t="s">
        <v>333</v>
      </c>
      <c r="D1088" s="30">
        <v>10</v>
      </c>
      <c r="E1088" s="101"/>
      <c r="F1088" s="99">
        <f>0.036-0.002+0.1-0.001-0.006-0.01-0.028-0.006+0.02-0.02-0.001-0.022+(0.028)-0.04+0.001-0.02-0.002-0.001-0.006+(0.152)</f>
        <v>0.17200000000000001</v>
      </c>
    </row>
    <row r="1089" spans="2:6" x14ac:dyDescent="0.2">
      <c r="B1089" s="167" t="s">
        <v>353</v>
      </c>
      <c r="C1089" s="30" t="s">
        <v>333</v>
      </c>
      <c r="D1089" s="167">
        <v>11</v>
      </c>
      <c r="E1089" s="106"/>
      <c r="F1089" s="90">
        <v>1.6E-2</v>
      </c>
    </row>
    <row r="1090" spans="2:6" x14ac:dyDescent="0.2">
      <c r="B1090" s="167" t="s">
        <v>353</v>
      </c>
      <c r="C1090" s="30" t="s">
        <v>333</v>
      </c>
      <c r="D1090" s="167">
        <v>20</v>
      </c>
      <c r="E1090" s="106"/>
      <c r="F1090" s="181">
        <f>0.201-0.106-0.098+(0.003)+0.096</f>
        <v>9.6000000000000016E-2</v>
      </c>
    </row>
    <row r="1091" spans="2:6" x14ac:dyDescent="0.2">
      <c r="B1091" s="167" t="s">
        <v>353</v>
      </c>
      <c r="C1091" s="30" t="s">
        <v>333</v>
      </c>
      <c r="D1091" s="167">
        <v>30</v>
      </c>
      <c r="E1091" s="106"/>
      <c r="F1091" s="90">
        <f>0.002+0.86-0.018-0.2-0.044-0.294-0.158</f>
        <v>0.14799999999999988</v>
      </c>
    </row>
    <row r="1092" spans="2:6" x14ac:dyDescent="0.2">
      <c r="B1092" s="167" t="s">
        <v>353</v>
      </c>
      <c r="C1092" s="30" t="s">
        <v>333</v>
      </c>
      <c r="D1092" s="167">
        <v>35</v>
      </c>
      <c r="E1092" s="106"/>
      <c r="F1092" s="181">
        <v>2.4E-2</v>
      </c>
    </row>
    <row r="1093" spans="2:6" x14ac:dyDescent="0.2">
      <c r="B1093" s="167" t="s">
        <v>353</v>
      </c>
      <c r="C1093" s="30" t="s">
        <v>333</v>
      </c>
      <c r="D1093" s="167">
        <v>40</v>
      </c>
      <c r="E1093" s="106"/>
      <c r="F1093" s="90">
        <f>(0.12)+(0.06)-0.036+(0.03)-0.048-0.054+0.403-0.052</f>
        <v>0.42300000000000004</v>
      </c>
    </row>
    <row r="1094" spans="2:6" x14ac:dyDescent="0.2">
      <c r="B1094" s="167" t="s">
        <v>353</v>
      </c>
      <c r="C1094" s="30" t="s">
        <v>333</v>
      </c>
      <c r="D1094" s="167">
        <v>50</v>
      </c>
      <c r="E1094" s="106"/>
      <c r="F1094" s="181">
        <f>0.443-0.098-0.034+(0.465)-(0.038)-0.048-0.016-0.05</f>
        <v>0.62399999999999989</v>
      </c>
    </row>
    <row r="1095" spans="2:6" x14ac:dyDescent="0.2">
      <c r="B1095" s="167" t="s">
        <v>353</v>
      </c>
      <c r="C1095" s="30" t="s">
        <v>333</v>
      </c>
      <c r="D1095" s="167" t="s">
        <v>1187</v>
      </c>
      <c r="E1095" s="106"/>
      <c r="F1095" s="181">
        <f>0.66-0.108-0.336-0.014-0.092-0.002+(0.943)+(0.009)-0.02-0.014-0.116-0.746-0.044-0.02+0.095-0.2+(0.005)+0.51-0.104</f>
        <v>0.40599999999999981</v>
      </c>
    </row>
    <row r="1096" spans="2:6" x14ac:dyDescent="0.2">
      <c r="B1096" s="167" t="s">
        <v>353</v>
      </c>
      <c r="C1096" s="30" t="s">
        <v>333</v>
      </c>
      <c r="D1096" s="167">
        <v>75</v>
      </c>
      <c r="E1096" s="106"/>
      <c r="F1096" s="181">
        <f>0.201-0.078</f>
        <v>0.12300000000000001</v>
      </c>
    </row>
    <row r="1097" spans="2:6" x14ac:dyDescent="0.2">
      <c r="B1097" s="167" t="s">
        <v>353</v>
      </c>
      <c r="C1097" s="30" t="s">
        <v>333</v>
      </c>
      <c r="D1097" s="167">
        <v>80</v>
      </c>
      <c r="E1097" s="106"/>
      <c r="F1097" s="181">
        <f>0.277-0.066-0.008-0.034</f>
        <v>0.16900000000000001</v>
      </c>
    </row>
    <row r="1098" spans="2:6" x14ac:dyDescent="0.2">
      <c r="B1098" s="167" t="s">
        <v>353</v>
      </c>
      <c r="C1098" s="30" t="s">
        <v>333</v>
      </c>
      <c r="D1098" s="167">
        <v>90</v>
      </c>
      <c r="E1098" s="106"/>
      <c r="F1098" s="181">
        <f>0.491-0.004-0.03-0.298-0.098+0.205-0.022</f>
        <v>0.24399999999999997</v>
      </c>
    </row>
    <row r="1099" spans="2:6" x14ac:dyDescent="0.2">
      <c r="B1099" s="167" t="s">
        <v>353</v>
      </c>
      <c r="C1099" s="30" t="s">
        <v>333</v>
      </c>
      <c r="D1099" s="167">
        <v>120</v>
      </c>
      <c r="E1099" s="106"/>
      <c r="F1099" s="90">
        <f>0.89-0.048-0.138-0.008-0.162-0.032-0.014-0.006-0.178-0.28-0.024+(0.092)+(0.104)-0.016</f>
        <v>0.17999999999999983</v>
      </c>
    </row>
    <row r="1100" spans="2:6" x14ac:dyDescent="0.2">
      <c r="B1100" s="101" t="s">
        <v>353</v>
      </c>
      <c r="C1100" s="30" t="s">
        <v>333</v>
      </c>
      <c r="D1100" s="101">
        <v>26</v>
      </c>
      <c r="E1100" s="101"/>
      <c r="F1100" s="99">
        <v>0.05</v>
      </c>
    </row>
    <row r="1101" spans="2:6" x14ac:dyDescent="0.2">
      <c r="B1101" s="30" t="s">
        <v>353</v>
      </c>
      <c r="C1101" s="30" t="s">
        <v>394</v>
      </c>
      <c r="D1101" s="30">
        <v>9</v>
      </c>
      <c r="E1101" s="101"/>
      <c r="F1101" s="99">
        <f>0.144-0.05</f>
        <v>9.3999999999999986E-2</v>
      </c>
    </row>
    <row r="1102" spans="2:6" x14ac:dyDescent="0.2">
      <c r="B1102" s="30" t="s">
        <v>353</v>
      </c>
      <c r="C1102" s="30" t="s">
        <v>394</v>
      </c>
      <c r="D1102" s="30">
        <v>28</v>
      </c>
      <c r="E1102" s="101"/>
      <c r="F1102" s="99">
        <v>8.0000000000000002E-3</v>
      </c>
    </row>
    <row r="1103" spans="2:6" x14ac:dyDescent="0.2">
      <c r="B1103" s="101" t="s">
        <v>353</v>
      </c>
      <c r="C1103" s="30" t="s">
        <v>394</v>
      </c>
      <c r="D1103" s="101">
        <v>16</v>
      </c>
      <c r="E1103" s="25"/>
      <c r="F1103" s="99">
        <f>1.135-0.085</f>
        <v>1.05</v>
      </c>
    </row>
    <row r="1104" spans="2:6" x14ac:dyDescent="0.2">
      <c r="B1104" s="30" t="s">
        <v>353</v>
      </c>
      <c r="C1104" s="30" t="s">
        <v>392</v>
      </c>
      <c r="D1104" s="30">
        <v>7</v>
      </c>
      <c r="E1104" s="101"/>
      <c r="F1104" s="99">
        <v>8.0000000000000002E-3</v>
      </c>
    </row>
    <row r="1105" spans="2:6" x14ac:dyDescent="0.2">
      <c r="B1105" s="30" t="s">
        <v>353</v>
      </c>
      <c r="C1105" s="30" t="s">
        <v>391</v>
      </c>
      <c r="D1105" s="30">
        <v>6</v>
      </c>
      <c r="E1105" s="101"/>
      <c r="F1105" s="34">
        <f>0.1-0.05</f>
        <v>0.05</v>
      </c>
    </row>
    <row r="1106" spans="2:6" x14ac:dyDescent="0.2">
      <c r="B1106" s="30" t="s">
        <v>353</v>
      </c>
      <c r="C1106" s="30" t="s">
        <v>823</v>
      </c>
      <c r="D1106" s="30">
        <v>8</v>
      </c>
      <c r="E1106" s="101"/>
      <c r="F1106" s="99">
        <v>0.03</v>
      </c>
    </row>
    <row r="1107" spans="2:6" x14ac:dyDescent="0.2">
      <c r="B1107" s="30" t="s">
        <v>353</v>
      </c>
      <c r="C1107" s="30" t="s">
        <v>823</v>
      </c>
      <c r="D1107" s="30">
        <v>10</v>
      </c>
      <c r="E1107" s="101"/>
      <c r="F1107" s="99">
        <f>0.036-0.002</f>
        <v>3.3999999999999996E-2</v>
      </c>
    </row>
    <row r="1108" spans="2:6" x14ac:dyDescent="0.2">
      <c r="B1108" s="30" t="s">
        <v>353</v>
      </c>
      <c r="C1108" s="30" t="s">
        <v>393</v>
      </c>
      <c r="D1108" s="30">
        <v>8</v>
      </c>
      <c r="E1108" s="101"/>
      <c r="F1108" s="99">
        <f>0.016+(0.008)</f>
        <v>2.4E-2</v>
      </c>
    </row>
    <row r="1109" spans="2:6" x14ac:dyDescent="0.2">
      <c r="B1109" s="4" t="s">
        <v>353</v>
      </c>
      <c r="C1109" s="174" t="s">
        <v>20</v>
      </c>
      <c r="D1109" s="37" t="s">
        <v>659</v>
      </c>
      <c r="E1109" s="5" t="s">
        <v>294</v>
      </c>
      <c r="F1109" s="39">
        <v>2.34</v>
      </c>
    </row>
    <row r="1110" spans="2:6" x14ac:dyDescent="0.2">
      <c r="B1110" s="4" t="s">
        <v>353</v>
      </c>
      <c r="C1110" s="174" t="s">
        <v>20</v>
      </c>
      <c r="D1110" s="37" t="s">
        <v>664</v>
      </c>
      <c r="E1110" s="5" t="s">
        <v>27</v>
      </c>
      <c r="F1110" s="39">
        <v>4.16</v>
      </c>
    </row>
    <row r="1111" spans="2:6" x14ac:dyDescent="0.2">
      <c r="B1111" s="4" t="s">
        <v>353</v>
      </c>
      <c r="C1111" s="174" t="s">
        <v>20</v>
      </c>
      <c r="D1111" s="37" t="s">
        <v>668</v>
      </c>
      <c r="E1111" s="5" t="s">
        <v>298</v>
      </c>
      <c r="F1111" s="39">
        <v>7.52</v>
      </c>
    </row>
    <row r="1112" spans="2:6" x14ac:dyDescent="0.2">
      <c r="B1112" s="62" t="s">
        <v>353</v>
      </c>
      <c r="C1112" s="174" t="s">
        <v>691</v>
      </c>
      <c r="D1112" s="62">
        <v>320</v>
      </c>
      <c r="E1112" s="70"/>
      <c r="F1112" s="70">
        <v>6.74</v>
      </c>
    </row>
    <row r="1113" spans="2:6" x14ac:dyDescent="0.2">
      <c r="B1113" s="101" t="s">
        <v>353</v>
      </c>
      <c r="C1113" s="30" t="s">
        <v>1591</v>
      </c>
      <c r="D1113" s="101">
        <v>90</v>
      </c>
      <c r="E1113" s="25"/>
      <c r="F1113" s="99">
        <v>0.94</v>
      </c>
    </row>
    <row r="1114" spans="2:6" x14ac:dyDescent="0.2">
      <c r="B1114" s="30" t="s">
        <v>353</v>
      </c>
      <c r="C1114" s="30" t="s">
        <v>328</v>
      </c>
      <c r="D1114" s="30">
        <v>30</v>
      </c>
      <c r="E1114" s="101">
        <v>4.7</v>
      </c>
      <c r="F1114" s="34">
        <f>2.78-0.078-0.028-0.03-0.056-0.28-0.086-0.03-0.056</f>
        <v>2.1360000000000001</v>
      </c>
    </row>
    <row r="1115" spans="2:6" x14ac:dyDescent="0.2">
      <c r="B1115" s="30" t="s">
        <v>353</v>
      </c>
      <c r="C1115" s="30" t="s">
        <v>328</v>
      </c>
      <c r="D1115" s="30">
        <v>35</v>
      </c>
      <c r="E1115" s="101">
        <v>5.6</v>
      </c>
      <c r="F1115" s="34">
        <f>1.62+1.25</f>
        <v>2.87</v>
      </c>
    </row>
    <row r="1116" spans="2:6" x14ac:dyDescent="0.2">
      <c r="B1116" s="30" t="s">
        <v>353</v>
      </c>
      <c r="C1116" s="30" t="s">
        <v>328</v>
      </c>
      <c r="D1116" s="30">
        <v>40</v>
      </c>
      <c r="E1116" s="101" t="s">
        <v>2755</v>
      </c>
      <c r="F1116" s="34">
        <f>3.53-0.25-0.05-0.335-0.05-0.1-0.1-0.1-0.05-0.09-0.1-0.04-0.1-0.084-0.05-0.3-0.15-0.19-0.044-0.55-0.272-0.096-0.094-0.056-0.086-0.042+3.06-0.2-0.05-0.102-0.05-0.046-0.048-0.044-0.1-0.2-0.05-0.1-0.192-0.56-0.396-0.052-0.204-0.148-0.1</f>
        <v>0.56900000000000039</v>
      </c>
    </row>
    <row r="1117" spans="2:6" x14ac:dyDescent="0.2">
      <c r="B1117" s="30" t="s">
        <v>353</v>
      </c>
      <c r="C1117" s="30" t="s">
        <v>328</v>
      </c>
      <c r="D1117" s="30">
        <v>45</v>
      </c>
      <c r="E1117" s="101" t="s">
        <v>2756</v>
      </c>
      <c r="F1117" s="34">
        <f>3.16-0.054-0.054-0.11-0.004-0.11-0.056-0.276-0.606-0.48-0.05-0.22-0.16-0.056-0.11</f>
        <v>0.8140000000000005</v>
      </c>
    </row>
    <row r="1118" spans="2:6" x14ac:dyDescent="0.2">
      <c r="B1118" s="30" t="s">
        <v>353</v>
      </c>
      <c r="C1118" s="30" t="s">
        <v>328</v>
      </c>
      <c r="D1118" s="30">
        <v>50</v>
      </c>
      <c r="E1118" s="101" t="s">
        <v>2757</v>
      </c>
      <c r="F1118" s="34">
        <f>0.16-0.07+3.5-0.102-0.056-0.068-0.068-0.072-0.106</f>
        <v>3.1179999999999999</v>
      </c>
    </row>
    <row r="1119" spans="2:6" x14ac:dyDescent="0.2">
      <c r="B1119" s="30" t="s">
        <v>353</v>
      </c>
      <c r="C1119" s="30" t="s">
        <v>328</v>
      </c>
      <c r="D1119" s="30">
        <v>60</v>
      </c>
      <c r="E1119" s="101" t="s">
        <v>2759</v>
      </c>
      <c r="F1119" s="34">
        <f>3.24-0.524-0.436-0.114+(0.104)-0.75-0.42-0.112-0.562+3.55-0.456-0.118-0.234</f>
        <v>3.1680000000000006</v>
      </c>
    </row>
    <row r="1120" spans="2:6" x14ac:dyDescent="0.2">
      <c r="B1120" s="30" t="s">
        <v>353</v>
      </c>
      <c r="C1120" s="30" t="s">
        <v>328</v>
      </c>
      <c r="D1120" s="30">
        <v>70</v>
      </c>
      <c r="E1120" s="101">
        <v>5.35</v>
      </c>
      <c r="F1120" s="99">
        <f>3.7-0.46-0.162-0.006-0.32</f>
        <v>2.7520000000000007</v>
      </c>
    </row>
    <row r="1121" spans="2:6" x14ac:dyDescent="0.2">
      <c r="B1121" s="30" t="s">
        <v>353</v>
      </c>
      <c r="C1121" s="30" t="s">
        <v>328</v>
      </c>
      <c r="D1121" s="30">
        <v>80</v>
      </c>
      <c r="E1121" s="101" t="s">
        <v>2760</v>
      </c>
      <c r="F1121" s="34">
        <v>3.03</v>
      </c>
    </row>
    <row r="1122" spans="2:6" x14ac:dyDescent="0.2">
      <c r="B1122" s="30" t="s">
        <v>353</v>
      </c>
      <c r="C1122" s="30" t="s">
        <v>328</v>
      </c>
      <c r="D1122" s="30">
        <v>90</v>
      </c>
      <c r="E1122" s="101" t="s">
        <v>2763</v>
      </c>
      <c r="F1122" s="99">
        <f>3.67-1.07-0.152-0.008-0.162-0.216-0.216</f>
        <v>1.8459999999999994</v>
      </c>
    </row>
    <row r="1123" spans="2:6" x14ac:dyDescent="0.2">
      <c r="B1123" s="30" t="s">
        <v>353</v>
      </c>
      <c r="C1123" s="30" t="s">
        <v>328</v>
      </c>
      <c r="D1123" s="30">
        <v>100</v>
      </c>
      <c r="E1123" s="101">
        <v>5.2</v>
      </c>
      <c r="F1123" s="34">
        <f>3.25-0.144-1.004-0.15-0.19-0.172</f>
        <v>1.59</v>
      </c>
    </row>
    <row r="1124" spans="2:6" x14ac:dyDescent="0.2">
      <c r="B1124" s="30" t="s">
        <v>353</v>
      </c>
      <c r="C1124" s="30" t="s">
        <v>328</v>
      </c>
      <c r="D1124" s="30">
        <v>120</v>
      </c>
      <c r="E1124" s="101" t="s">
        <v>2764</v>
      </c>
      <c r="F1124" s="34">
        <f>2.94-1.762-0.61+1.63-0.088-0.098-0.184-0.134-0.018</f>
        <v>1.6759999999999999</v>
      </c>
    </row>
    <row r="1125" spans="2:6" x14ac:dyDescent="0.2">
      <c r="B1125" s="30" t="s">
        <v>353</v>
      </c>
      <c r="C1125" s="30" t="s">
        <v>328</v>
      </c>
      <c r="D1125" s="30">
        <v>150</v>
      </c>
      <c r="E1125" s="101" t="s">
        <v>2765</v>
      </c>
      <c r="F1125" s="34">
        <f>4.22-1.15-1.184-0.866-0.07+1.84-0.046-0.59</f>
        <v>2.1540000000000004</v>
      </c>
    </row>
    <row r="1126" spans="2:6" x14ac:dyDescent="0.2">
      <c r="B1126" s="30" t="s">
        <v>353</v>
      </c>
      <c r="C1126" s="30" t="s">
        <v>328</v>
      </c>
      <c r="D1126" s="30">
        <v>160</v>
      </c>
      <c r="E1126" s="101" t="s">
        <v>2705</v>
      </c>
      <c r="F1126" s="99">
        <v>4.5199999999999996</v>
      </c>
    </row>
    <row r="1127" spans="2:6" x14ac:dyDescent="0.2">
      <c r="B1127" s="30" t="s">
        <v>353</v>
      </c>
      <c r="C1127" s="30" t="s">
        <v>328</v>
      </c>
      <c r="D1127" s="30">
        <v>170</v>
      </c>
      <c r="E1127" s="101"/>
      <c r="F1127" s="180"/>
    </row>
    <row r="1128" spans="2:6" x14ac:dyDescent="0.2">
      <c r="B1128" s="30" t="s">
        <v>353</v>
      </c>
      <c r="C1128" s="30" t="s">
        <v>328</v>
      </c>
      <c r="D1128" s="30">
        <v>180</v>
      </c>
      <c r="E1128" s="101" t="s">
        <v>2766</v>
      </c>
      <c r="F1128" s="99">
        <f>0.445+0.575+0.575+0.58-0.01-0.442-0.234-0.34-0.04-0.178-0.524+3.68+0.586-0.196-0.04-0.016-0.106-0.83-0.06-0.06</f>
        <v>3.3650000000000002</v>
      </c>
    </row>
    <row r="1129" spans="2:6" x14ac:dyDescent="0.2">
      <c r="B1129" s="30" t="s">
        <v>353</v>
      </c>
      <c r="C1129" s="30" t="s">
        <v>328</v>
      </c>
      <c r="D1129" s="30">
        <v>240</v>
      </c>
      <c r="E1129" s="101"/>
      <c r="F1129" s="180"/>
    </row>
    <row r="1130" spans="2:6" x14ac:dyDescent="0.2">
      <c r="B1130" s="101" t="s">
        <v>353</v>
      </c>
      <c r="C1130" s="30" t="s">
        <v>328</v>
      </c>
      <c r="D1130" s="101">
        <v>75</v>
      </c>
      <c r="E1130" s="183"/>
      <c r="F1130" s="99">
        <v>0.11</v>
      </c>
    </row>
    <row r="1131" spans="2:6" x14ac:dyDescent="0.2">
      <c r="B1131" s="101" t="s">
        <v>353</v>
      </c>
      <c r="C1131" s="30" t="s">
        <v>328</v>
      </c>
      <c r="D1131" s="101">
        <v>80</v>
      </c>
      <c r="E1131" s="25"/>
      <c r="F1131" s="99">
        <f>1-0.15</f>
        <v>0.85</v>
      </c>
    </row>
    <row r="1132" spans="2:6" x14ac:dyDescent="0.2">
      <c r="B1132" s="101" t="s">
        <v>353</v>
      </c>
      <c r="C1132" s="30" t="s">
        <v>328</v>
      </c>
      <c r="D1132" s="101">
        <v>80</v>
      </c>
      <c r="E1132" s="183"/>
      <c r="F1132" s="99">
        <f>0.37-0.08</f>
        <v>0.28999999999999998</v>
      </c>
    </row>
    <row r="1133" spans="2:6" x14ac:dyDescent="0.2">
      <c r="B1133" s="101" t="s">
        <v>353</v>
      </c>
      <c r="C1133" s="30" t="s">
        <v>328</v>
      </c>
      <c r="D1133" s="101">
        <v>150</v>
      </c>
      <c r="E1133" s="183"/>
      <c r="F1133" s="99">
        <f>3.68-0.35</f>
        <v>3.33</v>
      </c>
    </row>
    <row r="1134" spans="2:6" x14ac:dyDescent="0.2">
      <c r="B1134" s="101" t="s">
        <v>353</v>
      </c>
      <c r="C1134" s="30" t="s">
        <v>1619</v>
      </c>
      <c r="D1134" s="101">
        <v>150</v>
      </c>
      <c r="E1134" s="183"/>
      <c r="F1134" s="99">
        <v>1.38</v>
      </c>
    </row>
    <row r="1135" spans="2:6" x14ac:dyDescent="0.2">
      <c r="B1135" s="4" t="s">
        <v>353</v>
      </c>
      <c r="C1135" s="174" t="s">
        <v>707</v>
      </c>
      <c r="D1135" s="36" t="s">
        <v>733</v>
      </c>
      <c r="E1135" s="44" t="s">
        <v>732</v>
      </c>
      <c r="F1135" s="45">
        <v>2.59</v>
      </c>
    </row>
    <row r="1136" spans="2:6" x14ac:dyDescent="0.2">
      <c r="B1136" s="4" t="s">
        <v>353</v>
      </c>
      <c r="C1136" s="174" t="s">
        <v>707</v>
      </c>
      <c r="D1136" s="37" t="s">
        <v>661</v>
      </c>
      <c r="E1136" s="5" t="s">
        <v>173</v>
      </c>
      <c r="F1136" s="39">
        <v>0.84</v>
      </c>
    </row>
    <row r="1137" spans="2:6" x14ac:dyDescent="0.2">
      <c r="B1137" s="101" t="s">
        <v>353</v>
      </c>
      <c r="C1137" s="30" t="s">
        <v>707</v>
      </c>
      <c r="D1137" s="101">
        <v>16</v>
      </c>
      <c r="E1137" s="25"/>
      <c r="F1137" s="99">
        <f>0.96-0.1-0.015-0.2-0.02-0.2-0.01-0.01</f>
        <v>0.40499999999999997</v>
      </c>
    </row>
    <row r="1138" spans="2:6" x14ac:dyDescent="0.2">
      <c r="B1138" s="4" t="s">
        <v>353</v>
      </c>
      <c r="C1138" s="174" t="s">
        <v>794</v>
      </c>
      <c r="D1138" s="36" t="s">
        <v>731</v>
      </c>
      <c r="E1138" s="44" t="s">
        <v>732</v>
      </c>
      <c r="F1138" s="45">
        <v>10.32</v>
      </c>
    </row>
    <row r="1139" spans="2:6" x14ac:dyDescent="0.2">
      <c r="B1139" s="4" t="s">
        <v>353</v>
      </c>
      <c r="C1139" s="174" t="s">
        <v>794</v>
      </c>
      <c r="D1139" s="36" t="s">
        <v>795</v>
      </c>
      <c r="E1139" s="44" t="s">
        <v>732</v>
      </c>
      <c r="F1139" s="45">
        <v>1.2</v>
      </c>
    </row>
    <row r="1140" spans="2:6" x14ac:dyDescent="0.2">
      <c r="B1140" s="30" t="s">
        <v>353</v>
      </c>
      <c r="C1140" s="30" t="s">
        <v>377</v>
      </c>
      <c r="D1140" s="30">
        <v>100</v>
      </c>
      <c r="E1140" s="101">
        <v>2.33</v>
      </c>
      <c r="F1140" s="99">
        <f>(3.31)-0.6-0.12-0.305-0.122-0.06-0.304-1.49+(0.046)</f>
        <v>0.3549999999999997</v>
      </c>
    </row>
    <row r="1141" spans="2:6" x14ac:dyDescent="0.2">
      <c r="B1141" s="101" t="s">
        <v>353</v>
      </c>
      <c r="C1141" s="30" t="s">
        <v>377</v>
      </c>
      <c r="D1141" s="101">
        <v>80</v>
      </c>
      <c r="E1141" s="25"/>
      <c r="F1141" s="99">
        <v>0.12</v>
      </c>
    </row>
    <row r="1142" spans="2:6" x14ac:dyDescent="0.2">
      <c r="B1142" s="101" t="s">
        <v>353</v>
      </c>
      <c r="C1142" s="30" t="s">
        <v>377</v>
      </c>
      <c r="D1142" s="101">
        <v>90</v>
      </c>
      <c r="E1142" s="25"/>
      <c r="F1142" s="99">
        <v>1.27</v>
      </c>
    </row>
    <row r="1143" spans="2:6" x14ac:dyDescent="0.2">
      <c r="B1143" s="101" t="s">
        <v>353</v>
      </c>
      <c r="C1143" s="30" t="s">
        <v>377</v>
      </c>
      <c r="D1143" s="101">
        <v>100</v>
      </c>
      <c r="E1143" s="25"/>
      <c r="F1143" s="99">
        <v>0.65</v>
      </c>
    </row>
    <row r="1144" spans="2:6" x14ac:dyDescent="0.2">
      <c r="B1144" s="4" t="s">
        <v>353</v>
      </c>
      <c r="C1144" s="177" t="s">
        <v>326</v>
      </c>
      <c r="D1144" s="37" t="s">
        <v>60</v>
      </c>
      <c r="E1144" s="2" t="s">
        <v>169</v>
      </c>
      <c r="F1144" s="39">
        <v>0.06</v>
      </c>
    </row>
    <row r="1145" spans="2:6" x14ac:dyDescent="0.2">
      <c r="B1145" s="4" t="s">
        <v>353</v>
      </c>
      <c r="C1145" s="177" t="s">
        <v>326</v>
      </c>
      <c r="D1145" s="37" t="s">
        <v>749</v>
      </c>
      <c r="E1145" s="2" t="s">
        <v>796</v>
      </c>
      <c r="F1145" s="39">
        <v>0.3</v>
      </c>
    </row>
    <row r="1146" spans="2:6" x14ac:dyDescent="0.2">
      <c r="B1146" s="4" t="s">
        <v>353</v>
      </c>
      <c r="C1146" s="174" t="s">
        <v>326</v>
      </c>
      <c r="D1146" s="64" t="s">
        <v>658</v>
      </c>
      <c r="E1146" s="5" t="s">
        <v>32</v>
      </c>
      <c r="F1146" s="39">
        <v>0.21</v>
      </c>
    </row>
    <row r="1147" spans="2:6" x14ac:dyDescent="0.2">
      <c r="B1147" s="4" t="s">
        <v>353</v>
      </c>
      <c r="C1147" s="174" t="s">
        <v>326</v>
      </c>
      <c r="D1147" s="37" t="s">
        <v>670</v>
      </c>
      <c r="E1147" s="5" t="s">
        <v>41</v>
      </c>
      <c r="F1147" s="39">
        <v>0.41499999999999998</v>
      </c>
    </row>
    <row r="1148" spans="2:6" x14ac:dyDescent="0.2">
      <c r="B1148" s="30" t="s">
        <v>353</v>
      </c>
      <c r="C1148" s="30" t="s">
        <v>326</v>
      </c>
      <c r="D1148" s="30" t="s">
        <v>378</v>
      </c>
      <c r="E1148" s="101">
        <v>2.8</v>
      </c>
      <c r="F1148" s="34">
        <f>0.896+0.856-0.506-0.158-(0.026)-0.01-0.002-0.002-0.004-0.3-0.156</f>
        <v>0.58799999999999997</v>
      </c>
    </row>
    <row r="1149" spans="2:6" x14ac:dyDescent="0.2">
      <c r="B1149" s="30" t="s">
        <v>353</v>
      </c>
      <c r="C1149" s="30" t="s">
        <v>326</v>
      </c>
      <c r="D1149" s="30">
        <v>50</v>
      </c>
      <c r="E1149" s="101" t="s">
        <v>2758</v>
      </c>
      <c r="F1149" s="34">
        <f>1.62-0.384-0.058-0.066-0.13-0.436</f>
        <v>0.54600000000000004</v>
      </c>
    </row>
    <row r="1150" spans="2:6" x14ac:dyDescent="0.2">
      <c r="B1150" s="30" t="s">
        <v>353</v>
      </c>
      <c r="C1150" s="30" t="s">
        <v>326</v>
      </c>
      <c r="D1150" s="30">
        <v>52</v>
      </c>
      <c r="E1150" s="101">
        <v>3.9</v>
      </c>
      <c r="F1150" s="34">
        <f>1.44-0.308-0.064</f>
        <v>1.0679999999999998</v>
      </c>
    </row>
    <row r="1151" spans="2:6" x14ac:dyDescent="0.2">
      <c r="B1151" s="30" t="s">
        <v>353</v>
      </c>
      <c r="C1151" s="30" t="s">
        <v>326</v>
      </c>
      <c r="D1151" s="30">
        <v>60</v>
      </c>
      <c r="E1151" s="101"/>
      <c r="F1151" s="34">
        <f>0.822-0.12-0.07-0.082</f>
        <v>0.54999999999999993</v>
      </c>
    </row>
    <row r="1152" spans="2:6" x14ac:dyDescent="0.2">
      <c r="B1152" s="30" t="s">
        <v>353</v>
      </c>
      <c r="C1152" s="30" t="s">
        <v>326</v>
      </c>
      <c r="D1152" s="30">
        <v>80</v>
      </c>
      <c r="E1152" s="101" t="s">
        <v>2761</v>
      </c>
      <c r="F1152" s="34">
        <f>3.194-0.372-0.166-0.142-0.472-0.14-0.165-0.995+0.116+1.835-0.116+0.507-0.588-0.105-0.03-0.14+(1.178)+(0.412)-(0.106)+(0.073)-0.136-0.134-0.142-0.186-0.1-0.428-0.072-0.574-0.812-0.19-0.142-0.128-0.252+(0.8-0.138-0.136)-0.146-0.138-0.294-0.102-0.144</f>
        <v>0.18400000000000025</v>
      </c>
    </row>
    <row r="1153" spans="2:6" x14ac:dyDescent="0.2">
      <c r="B1153" s="30" t="s">
        <v>353</v>
      </c>
      <c r="C1153" s="30" t="s">
        <v>326</v>
      </c>
      <c r="D1153" s="30">
        <v>85</v>
      </c>
      <c r="E1153" s="101" t="s">
        <v>2762</v>
      </c>
      <c r="F1153" s="99">
        <f>0.584-0.118-0.238</f>
        <v>0.22799999999999998</v>
      </c>
    </row>
    <row r="1154" spans="2:6" x14ac:dyDescent="0.2">
      <c r="B1154" s="30" t="s">
        <v>353</v>
      </c>
      <c r="C1154" s="30" t="s">
        <v>326</v>
      </c>
      <c r="D1154" s="30">
        <v>90</v>
      </c>
      <c r="E1154" s="101">
        <v>3.6</v>
      </c>
      <c r="F1154" s="99">
        <f>0.35-0.18-0.048</f>
        <v>0.12199999999999998</v>
      </c>
    </row>
    <row r="1155" spans="2:6" x14ac:dyDescent="0.2">
      <c r="B1155" s="30" t="s">
        <v>353</v>
      </c>
      <c r="C1155" s="30" t="s">
        <v>326</v>
      </c>
      <c r="D1155" s="30">
        <v>90</v>
      </c>
      <c r="E1155" s="101"/>
      <c r="F1155" s="99">
        <v>0.38</v>
      </c>
    </row>
    <row r="1156" spans="2:6" x14ac:dyDescent="0.2">
      <c r="B1156" s="101" t="s">
        <v>353</v>
      </c>
      <c r="C1156" s="30" t="s">
        <v>326</v>
      </c>
      <c r="D1156" s="101">
        <v>20</v>
      </c>
      <c r="E1156" s="183"/>
      <c r="F1156" s="99">
        <f>3-0.3-0.015-0.015-0.05-0.15-0.015-0.015-0.015-0.245-0.03-0.05-0.015-0.085-0.1-0.03</f>
        <v>1.8699999999999999</v>
      </c>
    </row>
    <row r="1157" spans="2:6" x14ac:dyDescent="0.2">
      <c r="B1157" s="101" t="s">
        <v>353</v>
      </c>
      <c r="C1157" s="30" t="s">
        <v>326</v>
      </c>
      <c r="D1157" s="101">
        <v>36</v>
      </c>
      <c r="E1157" s="183"/>
      <c r="F1157" s="99">
        <v>1.22</v>
      </c>
    </row>
    <row r="1158" spans="2:6" x14ac:dyDescent="0.2">
      <c r="B1158" s="101" t="s">
        <v>353</v>
      </c>
      <c r="C1158" s="30" t="s">
        <v>326</v>
      </c>
      <c r="D1158" s="101">
        <v>40</v>
      </c>
      <c r="E1158" s="25"/>
      <c r="F1158" s="99">
        <f>0.21-0.07</f>
        <v>0.13999999999999999</v>
      </c>
    </row>
    <row r="1159" spans="2:6" x14ac:dyDescent="0.2">
      <c r="B1159" s="101" t="s">
        <v>353</v>
      </c>
      <c r="C1159" s="30" t="s">
        <v>326</v>
      </c>
      <c r="D1159" s="101">
        <v>60</v>
      </c>
      <c r="E1159" s="25"/>
      <c r="F1159" s="99">
        <f>4.08-0.06-0.12-0.4-0.065-0.15-0.14-0.06-0.14-0.07-0.07</f>
        <v>2.8050000000000006</v>
      </c>
    </row>
    <row r="1160" spans="2:6" x14ac:dyDescent="0.2">
      <c r="B1160" s="101" t="s">
        <v>353</v>
      </c>
      <c r="C1160" s="30" t="s">
        <v>326</v>
      </c>
      <c r="D1160" s="101">
        <v>70</v>
      </c>
      <c r="E1160" s="25"/>
      <c r="F1160" s="99">
        <f>2.4-0.075</f>
        <v>2.3249999999999997</v>
      </c>
    </row>
    <row r="1161" spans="2:6" x14ac:dyDescent="0.2">
      <c r="B1161" s="101" t="s">
        <v>353</v>
      </c>
      <c r="C1161" s="30" t="s">
        <v>326</v>
      </c>
      <c r="D1161" s="101">
        <v>80</v>
      </c>
      <c r="E1161" s="183"/>
      <c r="F1161" s="99">
        <v>0.14000000000000001</v>
      </c>
    </row>
    <row r="1162" spans="2:6" x14ac:dyDescent="0.2">
      <c r="B1162" s="101" t="s">
        <v>353</v>
      </c>
      <c r="C1162" s="30" t="s">
        <v>326</v>
      </c>
      <c r="D1162" s="101">
        <v>80</v>
      </c>
      <c r="E1162" s="25"/>
      <c r="F1162" s="99"/>
    </row>
    <row r="1163" spans="2:6" x14ac:dyDescent="0.2">
      <c r="B1163" s="101" t="s">
        <v>353</v>
      </c>
      <c r="C1163" s="30" t="s">
        <v>326</v>
      </c>
      <c r="D1163" s="101">
        <v>80</v>
      </c>
      <c r="E1163" s="25"/>
      <c r="F1163" s="99">
        <v>0.13</v>
      </c>
    </row>
    <row r="1164" spans="2:6" x14ac:dyDescent="0.2">
      <c r="B1164" s="101" t="s">
        <v>353</v>
      </c>
      <c r="C1164" s="30" t="s">
        <v>326</v>
      </c>
      <c r="D1164" s="101">
        <v>80</v>
      </c>
      <c r="E1164" s="25"/>
      <c r="F1164" s="99">
        <v>1.6</v>
      </c>
    </row>
    <row r="1165" spans="2:6" x14ac:dyDescent="0.2">
      <c r="B1165" s="101" t="s">
        <v>353</v>
      </c>
      <c r="C1165" s="30" t="s">
        <v>326</v>
      </c>
      <c r="D1165" s="101">
        <v>90</v>
      </c>
      <c r="E1165" s="25"/>
      <c r="F1165" s="99">
        <v>0.3</v>
      </c>
    </row>
    <row r="1166" spans="2:6" x14ac:dyDescent="0.2">
      <c r="B1166" s="101" t="s">
        <v>353</v>
      </c>
      <c r="C1166" s="30" t="s">
        <v>326</v>
      </c>
      <c r="D1166" s="101">
        <v>90</v>
      </c>
      <c r="E1166" s="25"/>
      <c r="F1166" s="99">
        <v>0.42</v>
      </c>
    </row>
    <row r="1167" spans="2:6" x14ac:dyDescent="0.2">
      <c r="B1167" s="101" t="s">
        <v>353</v>
      </c>
      <c r="C1167" s="30" t="s">
        <v>326</v>
      </c>
      <c r="D1167" s="101">
        <v>90</v>
      </c>
      <c r="E1167" s="25"/>
      <c r="F1167" s="99">
        <f>2.535-0.14-0.145+0.19-0.225-0.15-0.38-0.23-0.21-0.42</f>
        <v>0.82500000000000018</v>
      </c>
    </row>
    <row r="1168" spans="2:6" x14ac:dyDescent="0.2">
      <c r="B1168" s="101" t="s">
        <v>353</v>
      </c>
      <c r="C1168" s="30" t="s">
        <v>326</v>
      </c>
      <c r="D1168" s="101">
        <v>95</v>
      </c>
      <c r="E1168" s="183"/>
      <c r="F1168" s="99">
        <v>0.26</v>
      </c>
    </row>
    <row r="1169" spans="2:6" x14ac:dyDescent="0.2">
      <c r="B1169" s="101" t="s">
        <v>353</v>
      </c>
      <c r="C1169" s="30" t="s">
        <v>326</v>
      </c>
      <c r="D1169" s="101">
        <v>100</v>
      </c>
      <c r="E1169" s="25"/>
      <c r="F1169" s="99">
        <v>0.39</v>
      </c>
    </row>
    <row r="1170" spans="2:6" x14ac:dyDescent="0.2">
      <c r="B1170" s="101" t="s">
        <v>353</v>
      </c>
      <c r="C1170" s="30" t="s">
        <v>326</v>
      </c>
      <c r="D1170" s="101">
        <v>100</v>
      </c>
      <c r="E1170" s="25"/>
      <c r="F1170" s="99">
        <v>0.22</v>
      </c>
    </row>
    <row r="1171" spans="2:6" x14ac:dyDescent="0.2">
      <c r="B1171" s="101" t="s">
        <v>353</v>
      </c>
      <c r="C1171" s="30" t="s">
        <v>326</v>
      </c>
      <c r="D1171" s="101" t="s">
        <v>1699</v>
      </c>
      <c r="E1171" s="25"/>
      <c r="F1171" s="99">
        <v>0.28999999999999998</v>
      </c>
    </row>
    <row r="1172" spans="2:6" x14ac:dyDescent="0.2">
      <c r="B1172" s="4" t="s">
        <v>353</v>
      </c>
      <c r="C1172" s="174" t="s">
        <v>701</v>
      </c>
      <c r="D1172" s="64" t="s">
        <v>658</v>
      </c>
      <c r="E1172" s="5" t="s">
        <v>33</v>
      </c>
      <c r="F1172" s="39">
        <v>0.16500000000000001</v>
      </c>
    </row>
    <row r="1173" spans="2:6" x14ac:dyDescent="0.2">
      <c r="B1173" s="4" t="s">
        <v>353</v>
      </c>
      <c r="C1173" s="176" t="s">
        <v>800</v>
      </c>
      <c r="D1173" s="36" t="s">
        <v>801</v>
      </c>
      <c r="E1173" s="44">
        <v>1.6</v>
      </c>
      <c r="F1173" s="45">
        <v>0.11</v>
      </c>
    </row>
    <row r="1174" spans="2:6" x14ac:dyDescent="0.2">
      <c r="B1174" s="101" t="s">
        <v>353</v>
      </c>
      <c r="C1174" s="30" t="s">
        <v>800</v>
      </c>
      <c r="D1174" s="101">
        <v>100</v>
      </c>
      <c r="E1174" s="25"/>
      <c r="F1174" s="99">
        <v>0.13</v>
      </c>
    </row>
    <row r="1175" spans="2:6" x14ac:dyDescent="0.2">
      <c r="B1175" s="101" t="s">
        <v>353</v>
      </c>
      <c r="C1175" s="30" t="s">
        <v>800</v>
      </c>
      <c r="D1175" s="101">
        <v>120</v>
      </c>
      <c r="E1175" s="25"/>
      <c r="F1175" s="99">
        <f>11.78-0.65-0.15-0.205+0.61-0.315-0.185-0.14-0.39-0.15-0.24+0.17-0.98-0.115-0.28-0.055-0.17-0.075-0.06-1.78-0.13</f>
        <v>6.4899999999999967</v>
      </c>
    </row>
    <row r="1176" spans="2:6" x14ac:dyDescent="0.2">
      <c r="B1176" s="36" t="s">
        <v>353</v>
      </c>
      <c r="C1176" s="174" t="s">
        <v>802</v>
      </c>
      <c r="D1176" s="64" t="s">
        <v>245</v>
      </c>
      <c r="E1176" s="5">
        <v>5</v>
      </c>
      <c r="F1176" s="39">
        <v>1.1299999999999999</v>
      </c>
    </row>
    <row r="1177" spans="2:6" x14ac:dyDescent="0.2">
      <c r="B1177" s="36" t="s">
        <v>353</v>
      </c>
      <c r="C1177" s="174" t="s">
        <v>802</v>
      </c>
      <c r="D1177" s="62">
        <v>18</v>
      </c>
      <c r="E1177" s="70" t="s">
        <v>296</v>
      </c>
      <c r="F1177" s="70">
        <v>0.5</v>
      </c>
    </row>
    <row r="1178" spans="2:6" x14ac:dyDescent="0.2">
      <c r="B1178" s="101" t="s">
        <v>353</v>
      </c>
      <c r="C1178" s="30" t="s">
        <v>802</v>
      </c>
      <c r="D1178" s="101">
        <v>50</v>
      </c>
      <c r="E1178" s="25"/>
      <c r="F1178" s="99">
        <f>1.93-0.05-0.08-0.1-0.315-0.51-0.05-0.09-0.05-0.04-0.05</f>
        <v>0.59499999999999964</v>
      </c>
    </row>
    <row r="1179" spans="2:6" x14ac:dyDescent="0.2">
      <c r="B1179" s="101" t="s">
        <v>353</v>
      </c>
      <c r="C1179" s="30" t="s">
        <v>802</v>
      </c>
      <c r="D1179" s="101">
        <v>50</v>
      </c>
      <c r="E1179" s="25"/>
      <c r="F1179" s="99">
        <v>0.04</v>
      </c>
    </row>
    <row r="1180" spans="2:6" x14ac:dyDescent="0.2">
      <c r="B1180" s="101" t="s">
        <v>353</v>
      </c>
      <c r="C1180" s="30" t="s">
        <v>802</v>
      </c>
      <c r="D1180" s="101">
        <v>130</v>
      </c>
      <c r="E1180" s="25"/>
      <c r="F1180" s="99">
        <f>0.4-0.19</f>
        <v>0.21000000000000002</v>
      </c>
    </row>
    <row r="1181" spans="2:6" x14ac:dyDescent="0.2">
      <c r="B1181" s="101" t="s">
        <v>353</v>
      </c>
      <c r="C1181" s="30" t="s">
        <v>802</v>
      </c>
      <c r="D1181" s="101">
        <v>160</v>
      </c>
      <c r="E1181" s="183"/>
      <c r="F1181" s="99">
        <f>1.66-0.27-0.11</f>
        <v>1.2799999999999998</v>
      </c>
    </row>
    <row r="1182" spans="2:6" x14ac:dyDescent="0.2">
      <c r="B1182" s="30" t="s">
        <v>353</v>
      </c>
      <c r="C1182" s="30" t="s">
        <v>329</v>
      </c>
      <c r="D1182" s="30">
        <v>16</v>
      </c>
      <c r="E1182" s="101"/>
      <c r="F1182" s="34">
        <f>0.299-0.299+0.77-0.014+0.482-0.156-0.008-0.008-0.002-0.008-0.022-0.034-0.01-0.044-0.01-0.01-0.028-0.046-0.072-0.008-0.01-0.084-0.016-0.008-0.042-0.008-0.06-0.002-0.054-0.04</f>
        <v>0.44799999999999984</v>
      </c>
    </row>
    <row r="1183" spans="2:6" x14ac:dyDescent="0.2">
      <c r="B1183" s="30" t="s">
        <v>353</v>
      </c>
      <c r="C1183" s="30" t="s">
        <v>329</v>
      </c>
      <c r="D1183" s="30">
        <v>18</v>
      </c>
      <c r="E1183" s="101"/>
      <c r="F1183" s="34">
        <f>0.576-0.014-0.05-0.038</f>
        <v>0.47399999999999992</v>
      </c>
    </row>
    <row r="1184" spans="2:6" x14ac:dyDescent="0.2">
      <c r="B1184" s="30" t="s">
        <v>353</v>
      </c>
      <c r="C1184" s="30" t="s">
        <v>329</v>
      </c>
      <c r="D1184" s="30">
        <v>20</v>
      </c>
      <c r="E1184" s="101"/>
      <c r="F1184" s="34">
        <f>0.405-0.3-0.05+1.214-0.102-0.306-0.026-0.016-0.048-0.016-0.044-0.056-0.05-0.308-0.001-0.016-0.03-0.03-0.046-0.104+(0.126)-0.014+0.99-0.038-0.024-0.01-0.08-0.046-0.024-0.012</f>
        <v>0.93799999999999928</v>
      </c>
    </row>
    <row r="1185" spans="2:6" x14ac:dyDescent="0.2">
      <c r="B1185" s="30" t="s">
        <v>353</v>
      </c>
      <c r="C1185" s="30" t="s">
        <v>329</v>
      </c>
      <c r="D1185" s="30">
        <v>25</v>
      </c>
      <c r="E1185" s="101"/>
      <c r="F1185" s="34">
        <f>2.99-0.198-0.034-0.096-0.058-0.024-0.018-0.12-0.024-0.018-0.018</f>
        <v>2.382000000000001</v>
      </c>
    </row>
    <row r="1186" spans="2:6" x14ac:dyDescent="0.2">
      <c r="B1186" s="30" t="s">
        <v>353</v>
      </c>
      <c r="C1186" s="30" t="s">
        <v>329</v>
      </c>
      <c r="D1186" s="30">
        <v>30</v>
      </c>
      <c r="E1186" s="101"/>
      <c r="F1186" s="34">
        <f>1.996-0.326-0.108-0.028-0.03-0.03-0.032-0.03-0.15-0.06-0.06-0.228-0.108-0.01-0.016-0.08-0.028-0.012+1.008-0.064-0.02-0.114-0.03</f>
        <v>1.4399999999999995</v>
      </c>
    </row>
    <row r="1187" spans="2:6" x14ac:dyDescent="0.2">
      <c r="B1187" s="30" t="s">
        <v>353</v>
      </c>
      <c r="C1187" s="30" t="s">
        <v>329</v>
      </c>
      <c r="D1187" s="30">
        <v>35</v>
      </c>
      <c r="E1187" s="101"/>
      <c r="F1187" s="34">
        <f>3.014-0.002-0.006-0.024-0.126-0.008-0.03-0.035-0.016-0.14-0.22+0.024-0.036-0.05-0.095-0.05-0.12-0.008-0.075-0.007-0.105-0.005-0.03-0.03-0.035-0.18-1.02-0.125-0.03-0.03-0.39-(0.01)+1.2-0.606-0.04-0.18-0.034-0.08-0.016-0.022-0.082-0.042+2.038-0.114-0.002-0.214-0.11-0.032-0.112-0.03-0.042-0.044-0.116-0.002-0.118-0.008-0.008</f>
        <v>1.1840000000000002</v>
      </c>
    </row>
    <row r="1188" spans="2:6" x14ac:dyDescent="0.2">
      <c r="B1188" s="30" t="s">
        <v>353</v>
      </c>
      <c r="C1188" s="30" t="s">
        <v>329</v>
      </c>
      <c r="D1188" s="30">
        <v>40</v>
      </c>
      <c r="E1188" s="101"/>
      <c r="F1188" s="34">
        <f>1.22-0.17-0.114-0.11-0.114-0.04-0.094+2.048-0.28-0.052-0.056-0.15-0.16-0.04-0.002-0.046-0.072-0.06-0.06-0.024-0.074-0.06-0.042-0.308-0.1-0.006-0.1-0.044-0.11-0.012+(0.208)-0.046-0.212-0.058-0.018-0.062-0.04-0.01-0.06-0.218-0.042-0.06</f>
        <v>0.14999999999999933</v>
      </c>
    </row>
    <row r="1189" spans="2:6" x14ac:dyDescent="0.2">
      <c r="B1189" s="30" t="s">
        <v>353</v>
      </c>
      <c r="C1189" s="30" t="s">
        <v>329</v>
      </c>
      <c r="D1189" s="30">
        <v>45</v>
      </c>
      <c r="E1189" s="101"/>
      <c r="F1189" s="34">
        <f>2.05-0.06-0.072-0.068-0.062-0.012-0.062-0.02-0.118-0.102-0.07-0.05</f>
        <v>1.3539999999999994</v>
      </c>
    </row>
    <row r="1190" spans="2:6" x14ac:dyDescent="0.2">
      <c r="B1190" s="30" t="s">
        <v>353</v>
      </c>
      <c r="C1190" s="30" t="s">
        <v>329</v>
      </c>
      <c r="D1190" s="30">
        <v>50</v>
      </c>
      <c r="E1190" s="101"/>
      <c r="F1190" s="34">
        <f>0.43-0.12-0.04-0.09+0.176-0.032-0.088+0.806-0.486-0.01-0.072+3.069-0.124-0.178-0.184-0.06-0.124-0.028-0.112-0.056-0.058-0.008-0.118-0.296-0.01-0.13-0.058+(0.716-0.038-0.042)-0.188-0.062-0.164-0.12-0.35-0.054-0.016-0.078</f>
        <v>1.6029999999999998</v>
      </c>
    </row>
    <row r="1191" spans="2:6" x14ac:dyDescent="0.2">
      <c r="B1191" s="30" t="s">
        <v>353</v>
      </c>
      <c r="C1191" s="30" t="s">
        <v>329</v>
      </c>
      <c r="D1191" s="30">
        <v>55</v>
      </c>
      <c r="E1191" s="101"/>
      <c r="F1191" s="34">
        <f>3.089-0.018-0.06-0.018-0.038-0.07-0.02-0.06</f>
        <v>2.8050000000000006</v>
      </c>
    </row>
    <row r="1192" spans="2:6" x14ac:dyDescent="0.2">
      <c r="B1192" s="30" t="s">
        <v>353</v>
      </c>
      <c r="C1192" s="30" t="s">
        <v>329</v>
      </c>
      <c r="D1192" s="30">
        <v>60</v>
      </c>
      <c r="E1192" s="101"/>
      <c r="F1192" s="34">
        <f>3.536-0.34-0.022+0.464-0.102-0.096-0.166-0.028-0.084-0.01-0.012-0.022-0.07-0.044-0.04-0.196-0.05-0.258-0.078-0.088+1.034</f>
        <v>3.3280000000000012</v>
      </c>
    </row>
    <row r="1193" spans="2:6" x14ac:dyDescent="0.2">
      <c r="B1193" s="30" t="s">
        <v>353</v>
      </c>
      <c r="C1193" s="30" t="s">
        <v>329</v>
      </c>
      <c r="D1193" s="30">
        <v>65</v>
      </c>
      <c r="E1193" s="101"/>
      <c r="F1193" s="34">
        <f>(0.05)-0.018-0.032+1.59-0.05-0.104-0.104-0.034-0.026-0.1+0.096-0.024-0.026-0.1-0.092-0.192-0.112-0.298-0.098-0.01-0.012-0.074+(0.116)-0.072</f>
        <v>0.27399999999999958</v>
      </c>
    </row>
    <row r="1194" spans="2:6" x14ac:dyDescent="0.2">
      <c r="B1194" s="30" t="s">
        <v>353</v>
      </c>
      <c r="C1194" s="30" t="s">
        <v>329</v>
      </c>
      <c r="D1194" s="30">
        <v>70</v>
      </c>
      <c r="E1194" s="101"/>
      <c r="F1194" s="99">
        <f>3.8+4.76-0.016-0.16-0.16-0.315-1-0.24-0.06-0.64+4.117-1.015-0.014-0.13-0.09-0.69-0.15-0.014-1.035-1.035-0.32-0.126-0.12-0.08-0.08-0.08-1.105-0.36-0.128-0.048+1.346-0.018+(0.126)-0.016-0.128-0.082-0.006-0.08-0.054-0.07-0.08-0.712-0.074-0.262+0.798-0.044-0.138-0.05-0.058-0.132-0.54-0.5-0.264+0.998-0.038-0.018-0.276+1.35-0.114-0.512-0.064+1.446-0.246-0.046-0.136-0.134-0.2+(0.628)-0.388-0.078-0.242+(0.264)-0.026-0.128-0.08-0.04-0.036-0.022-0.065-0.052-0.192-0.028-0.036-0.164+(0.489)-0.136-0.48-1.5-0.07-0.374-0.004-0.084-0.086+2.126</f>
        <v>3.6339999999999977</v>
      </c>
    </row>
    <row r="1195" spans="2:6" x14ac:dyDescent="0.2">
      <c r="B1195" s="30" t="s">
        <v>353</v>
      </c>
      <c r="C1195" s="30" t="s">
        <v>329</v>
      </c>
      <c r="D1195" s="30">
        <v>80</v>
      </c>
      <c r="E1195" s="101"/>
      <c r="F1195" s="34">
        <f>1.007-0.044-0.066+2.01</f>
        <v>2.9069999999999996</v>
      </c>
    </row>
    <row r="1196" spans="2:6" x14ac:dyDescent="0.2">
      <c r="B1196" s="30" t="s">
        <v>353</v>
      </c>
      <c r="C1196" s="30" t="s">
        <v>329</v>
      </c>
      <c r="D1196" s="30">
        <v>105</v>
      </c>
      <c r="E1196" s="101"/>
      <c r="F1196" s="34">
        <v>0.24199999999999999</v>
      </c>
    </row>
    <row r="1197" spans="2:6" x14ac:dyDescent="0.2">
      <c r="B1197" s="101" t="s">
        <v>353</v>
      </c>
      <c r="C1197" s="30" t="s">
        <v>329</v>
      </c>
      <c r="D1197" s="101">
        <v>28</v>
      </c>
      <c r="E1197" s="101"/>
      <c r="F1197" s="99">
        <v>0.23</v>
      </c>
    </row>
    <row r="1198" spans="2:6" x14ac:dyDescent="0.2">
      <c r="B1198" s="101" t="s">
        <v>353</v>
      </c>
      <c r="C1198" s="30" t="s">
        <v>329</v>
      </c>
      <c r="D1198" s="101">
        <v>100</v>
      </c>
      <c r="E1198" s="25"/>
      <c r="F1198" s="99">
        <f>0.28-0.09</f>
        <v>0.19000000000000003</v>
      </c>
    </row>
    <row r="1199" spans="2:6" x14ac:dyDescent="0.2">
      <c r="B1199" s="101" t="s">
        <v>353</v>
      </c>
      <c r="C1199" s="30" t="s">
        <v>329</v>
      </c>
      <c r="D1199" s="101">
        <v>130</v>
      </c>
      <c r="E1199" s="25"/>
      <c r="F1199" s="99">
        <v>0.11</v>
      </c>
    </row>
    <row r="1200" spans="2:6" x14ac:dyDescent="0.2">
      <c r="B1200" s="101" t="s">
        <v>353</v>
      </c>
      <c r="C1200" s="30" t="s">
        <v>329</v>
      </c>
      <c r="D1200" s="101">
        <v>140</v>
      </c>
      <c r="E1200" s="183"/>
      <c r="F1200" s="99">
        <f>1.09-0.17-0.175-0.165</f>
        <v>0.58000000000000007</v>
      </c>
    </row>
    <row r="1201" spans="2:6" x14ac:dyDescent="0.2">
      <c r="B1201" s="101" t="s">
        <v>353</v>
      </c>
      <c r="C1201" s="30" t="s">
        <v>329</v>
      </c>
      <c r="D1201" s="101">
        <v>150</v>
      </c>
      <c r="E1201" s="183"/>
      <c r="F1201" s="99">
        <v>0.17</v>
      </c>
    </row>
    <row r="1202" spans="2:6" x14ac:dyDescent="0.2">
      <c r="B1202" s="101" t="s">
        <v>353</v>
      </c>
      <c r="C1202" s="30" t="s">
        <v>329</v>
      </c>
      <c r="D1202" s="101">
        <v>160</v>
      </c>
      <c r="E1202" s="183"/>
      <c r="F1202" s="99">
        <f>2.04-0.87</f>
        <v>1.17</v>
      </c>
    </row>
    <row r="1203" spans="2:6" x14ac:dyDescent="0.2">
      <c r="B1203" s="36" t="s">
        <v>353</v>
      </c>
      <c r="C1203" s="176" t="s">
        <v>819</v>
      </c>
      <c r="D1203" s="36">
        <v>18</v>
      </c>
      <c r="E1203" s="44">
        <v>3</v>
      </c>
      <c r="F1203" s="45">
        <v>0.26</v>
      </c>
    </row>
    <row r="1204" spans="2:6" x14ac:dyDescent="0.2">
      <c r="B1204" s="30" t="s">
        <v>353</v>
      </c>
      <c r="C1204" s="30" t="s">
        <v>819</v>
      </c>
      <c r="D1204" s="30">
        <v>16</v>
      </c>
      <c r="E1204" s="101"/>
      <c r="F1204" s="99">
        <f>0.32</f>
        <v>0.32</v>
      </c>
    </row>
    <row r="1205" spans="2:6" x14ac:dyDescent="0.2">
      <c r="B1205" s="30" t="s">
        <v>353</v>
      </c>
      <c r="C1205" s="30" t="s">
        <v>819</v>
      </c>
      <c r="D1205" s="30">
        <v>20</v>
      </c>
      <c r="E1205" s="101"/>
      <c r="F1205" s="99">
        <f>0.2-0.01-0.028-0.01-0.02-0.01-0.01-0.01+(0.547)-(0.023)-0.03-0.102+(0.26)</f>
        <v>0.754</v>
      </c>
    </row>
    <row r="1206" spans="2:6" x14ac:dyDescent="0.2">
      <c r="B1206" s="30" t="s">
        <v>353</v>
      </c>
      <c r="C1206" s="30" t="s">
        <v>819</v>
      </c>
      <c r="D1206" s="30">
        <v>28</v>
      </c>
      <c r="E1206" s="101"/>
      <c r="F1206" s="99">
        <f>0.95-0.068-0.022</f>
        <v>0.85999999999999988</v>
      </c>
    </row>
    <row r="1207" spans="2:6" x14ac:dyDescent="0.2">
      <c r="B1207" s="30" t="s">
        <v>353</v>
      </c>
      <c r="C1207" s="30" t="s">
        <v>819</v>
      </c>
      <c r="D1207" s="30">
        <v>45</v>
      </c>
      <c r="E1207" s="101"/>
      <c r="F1207" s="99">
        <f>0.336+0.328+0.04</f>
        <v>0.70400000000000007</v>
      </c>
    </row>
    <row r="1208" spans="2:6" x14ac:dyDescent="0.2">
      <c r="B1208" s="30" t="s">
        <v>353</v>
      </c>
      <c r="C1208" s="30" t="s">
        <v>819</v>
      </c>
      <c r="D1208" s="30">
        <v>50</v>
      </c>
      <c r="E1208" s="101"/>
      <c r="F1208" s="99">
        <f>0.09+0.054</f>
        <v>0.14399999999999999</v>
      </c>
    </row>
    <row r="1209" spans="2:6" x14ac:dyDescent="0.2">
      <c r="B1209" s="30" t="s">
        <v>353</v>
      </c>
      <c r="C1209" s="30" t="s">
        <v>819</v>
      </c>
      <c r="D1209" s="30">
        <v>55</v>
      </c>
      <c r="E1209" s="101"/>
      <c r="F1209" s="99">
        <f>1.4-0.018-0.11-0.018-0.08-0.056-0.112-0.02-0.272-0.114-0.26-0.086-0.056-0.056</f>
        <v>0.14199999999999957</v>
      </c>
    </row>
    <row r="1210" spans="2:6" x14ac:dyDescent="0.2">
      <c r="B1210" s="30" t="s">
        <v>353</v>
      </c>
      <c r="C1210" s="30" t="s">
        <v>819</v>
      </c>
      <c r="D1210" s="30">
        <v>60</v>
      </c>
      <c r="E1210" s="101"/>
      <c r="F1210" s="99">
        <f>0.338-0.136-0.052+(0.152+0.096)+1.16+1.332-0.14-0.28+0.078</f>
        <v>2.5479999999999996</v>
      </c>
    </row>
    <row r="1211" spans="2:6" x14ac:dyDescent="0.2">
      <c r="B1211" s="30" t="s">
        <v>353</v>
      </c>
      <c r="C1211" s="30" t="s">
        <v>819</v>
      </c>
      <c r="D1211" s="30">
        <v>70</v>
      </c>
      <c r="E1211" s="101"/>
      <c r="F1211" s="99">
        <f>0.1+0.524</f>
        <v>0.624</v>
      </c>
    </row>
    <row r="1212" spans="2:6" x14ac:dyDescent="0.2">
      <c r="B1212" s="30" t="s">
        <v>353</v>
      </c>
      <c r="C1212" s="30" t="s">
        <v>819</v>
      </c>
      <c r="D1212" s="30">
        <v>140</v>
      </c>
      <c r="E1212" s="101"/>
      <c r="F1212" s="99">
        <f>0.672-0.496-0.176+5.626-1.056-0.042-0.068-0.78-0.076-1.062-0.218-0.042-0.064-0.086-0.086-0.04-0.064-1.494-0.12-0.15-(0.018)</f>
        <v>0.16000000000000109</v>
      </c>
    </row>
    <row r="1213" spans="2:6" x14ac:dyDescent="0.2">
      <c r="B1213" s="101" t="s">
        <v>353</v>
      </c>
      <c r="C1213" s="30" t="s">
        <v>819</v>
      </c>
      <c r="D1213" s="101" t="s">
        <v>1533</v>
      </c>
      <c r="E1213" s="25"/>
      <c r="F1213" s="99">
        <v>0.42</v>
      </c>
    </row>
    <row r="1214" spans="2:6" x14ac:dyDescent="0.2">
      <c r="B1214" s="101" t="s">
        <v>353</v>
      </c>
      <c r="C1214" s="30" t="s">
        <v>819</v>
      </c>
      <c r="D1214" s="101">
        <v>21</v>
      </c>
      <c r="E1214" s="101"/>
      <c r="F1214" s="99">
        <v>0.94</v>
      </c>
    </row>
    <row r="1215" spans="2:6" x14ac:dyDescent="0.2">
      <c r="B1215" s="101" t="s">
        <v>353</v>
      </c>
      <c r="C1215" s="30" t="s">
        <v>819</v>
      </c>
      <c r="D1215" s="101">
        <v>22</v>
      </c>
      <c r="E1215" s="183"/>
      <c r="F1215" s="99">
        <v>0.09</v>
      </c>
    </row>
    <row r="1216" spans="2:6" x14ac:dyDescent="0.2">
      <c r="B1216" s="101" t="s">
        <v>353</v>
      </c>
      <c r="C1216" s="30" t="s">
        <v>819</v>
      </c>
      <c r="D1216" s="101">
        <v>25</v>
      </c>
      <c r="E1216" s="183"/>
      <c r="F1216" s="99" t="s">
        <v>1540</v>
      </c>
    </row>
    <row r="1217" spans="2:6" x14ac:dyDescent="0.2">
      <c r="B1217" s="101" t="s">
        <v>353</v>
      </c>
      <c r="C1217" s="30" t="s">
        <v>819</v>
      </c>
      <c r="D1217" s="101">
        <v>30</v>
      </c>
      <c r="E1217" s="183"/>
      <c r="F1217" s="99">
        <f>0.16-0.02</f>
        <v>0.14000000000000001</v>
      </c>
    </row>
    <row r="1218" spans="2:6" x14ac:dyDescent="0.2">
      <c r="B1218" s="101" t="s">
        <v>353</v>
      </c>
      <c r="C1218" s="30" t="s">
        <v>819</v>
      </c>
      <c r="D1218" s="101">
        <v>40</v>
      </c>
      <c r="E1218" s="183"/>
      <c r="F1218" s="99">
        <f>1.75-0.19-0.12-0.205-0.06-0.09-0.08-0.16-0.03</f>
        <v>0.81499999999999961</v>
      </c>
    </row>
    <row r="1219" spans="2:6" x14ac:dyDescent="0.2">
      <c r="B1219" s="101" t="s">
        <v>353</v>
      </c>
      <c r="C1219" s="30" t="s">
        <v>819</v>
      </c>
      <c r="D1219" s="101">
        <v>50</v>
      </c>
      <c r="E1219" s="25"/>
      <c r="F1219" s="99">
        <f>1.35-0.1-0.06-0.3</f>
        <v>0.8899999999999999</v>
      </c>
    </row>
    <row r="1220" spans="2:6" x14ac:dyDescent="0.2">
      <c r="B1220" s="101" t="s">
        <v>353</v>
      </c>
      <c r="C1220" s="30" t="s">
        <v>819</v>
      </c>
      <c r="D1220" s="101">
        <v>50</v>
      </c>
      <c r="E1220" s="25"/>
      <c r="F1220" s="99">
        <v>1.65</v>
      </c>
    </row>
    <row r="1221" spans="2:6" x14ac:dyDescent="0.2">
      <c r="B1221" s="101" t="s">
        <v>353</v>
      </c>
      <c r="C1221" s="30" t="s">
        <v>819</v>
      </c>
      <c r="D1221" s="101">
        <v>80</v>
      </c>
      <c r="E1221" s="25"/>
      <c r="F1221" s="99">
        <v>1.1299999999999999</v>
      </c>
    </row>
    <row r="1222" spans="2:6" x14ac:dyDescent="0.2">
      <c r="B1222" s="101" t="s">
        <v>353</v>
      </c>
      <c r="C1222" s="30" t="s">
        <v>819</v>
      </c>
      <c r="D1222" s="101">
        <v>100</v>
      </c>
      <c r="E1222" s="25"/>
      <c r="F1222" s="99">
        <f>0.475-0.095-0.09-0.1</f>
        <v>0.19000000000000003</v>
      </c>
    </row>
    <row r="1223" spans="2:6" x14ac:dyDescent="0.2">
      <c r="B1223" s="30" t="s">
        <v>353</v>
      </c>
      <c r="C1223" s="30" t="s">
        <v>380</v>
      </c>
      <c r="D1223" s="30">
        <v>45</v>
      </c>
      <c r="E1223" s="101"/>
      <c r="F1223" s="99">
        <v>0.51</v>
      </c>
    </row>
    <row r="1224" spans="2:6" x14ac:dyDescent="0.2">
      <c r="B1224" s="30" t="s">
        <v>353</v>
      </c>
      <c r="C1224" s="30" t="s">
        <v>380</v>
      </c>
      <c r="D1224" s="30">
        <v>60</v>
      </c>
      <c r="E1224" s="101"/>
      <c r="F1224" s="99">
        <f>0.108+0.056-0.012-0.054</f>
        <v>9.8000000000000004E-2</v>
      </c>
    </row>
    <row r="1225" spans="2:6" x14ac:dyDescent="0.2">
      <c r="B1225" s="30" t="s">
        <v>353</v>
      </c>
      <c r="C1225" s="30" t="s">
        <v>380</v>
      </c>
      <c r="D1225" s="30">
        <v>65</v>
      </c>
      <c r="E1225" s="101"/>
      <c r="F1225" s="99">
        <v>1.018</v>
      </c>
    </row>
    <row r="1226" spans="2:6" x14ac:dyDescent="0.2">
      <c r="B1226" s="30" t="s">
        <v>353</v>
      </c>
      <c r="C1226" s="30" t="s">
        <v>380</v>
      </c>
      <c r="D1226" s="30">
        <v>120</v>
      </c>
      <c r="E1226" s="101"/>
      <c r="F1226" s="99">
        <f>0.47+0.304+0.39+0.282-0.158-0.452</f>
        <v>0.8360000000000003</v>
      </c>
    </row>
    <row r="1227" spans="2:6" x14ac:dyDescent="0.2">
      <c r="B1227" s="101" t="s">
        <v>353</v>
      </c>
      <c r="C1227" s="30" t="s">
        <v>380</v>
      </c>
      <c r="D1227" s="101">
        <v>80</v>
      </c>
      <c r="E1227" s="25"/>
      <c r="F1227" s="99">
        <f>1.43-0.57-0.325-0.11</f>
        <v>0.42499999999999993</v>
      </c>
    </row>
    <row r="1228" spans="2:6" x14ac:dyDescent="0.2">
      <c r="B1228" s="30" t="s">
        <v>353</v>
      </c>
      <c r="C1228" s="30" t="s">
        <v>381</v>
      </c>
      <c r="D1228" s="30">
        <v>60</v>
      </c>
      <c r="E1228" s="101"/>
      <c r="F1228" s="99">
        <f>0.514+0.092-0.16-0.052-0.072</f>
        <v>0.32199999999999995</v>
      </c>
    </row>
    <row r="1229" spans="2:6" x14ac:dyDescent="0.2">
      <c r="B1229" s="30" t="s">
        <v>353</v>
      </c>
      <c r="C1229" s="30" t="s">
        <v>1534</v>
      </c>
      <c r="D1229" s="30">
        <v>16</v>
      </c>
      <c r="E1229" s="101" t="s">
        <v>2770</v>
      </c>
      <c r="F1229" s="34">
        <f>1.082-0.005-0.055-0.02-0.025-0.01-0.015-0.035-0.075-0.004-0.2-0.016-0.016-0.07-0.032-0.124</f>
        <v>0.38</v>
      </c>
    </row>
    <row r="1230" spans="2:6" x14ac:dyDescent="0.2">
      <c r="B1230" s="30" t="s">
        <v>353</v>
      </c>
      <c r="C1230" s="30" t="s">
        <v>1534</v>
      </c>
      <c r="D1230" s="30">
        <v>22</v>
      </c>
      <c r="E1230" s="101" t="s">
        <v>2771</v>
      </c>
      <c r="F1230" s="99">
        <f>1.325-0.012-0.036-0.026-0.01-0.055-0.036-0.074-0.012-0.012-0.06+(0.01)-0.012-0.052-0.014-0.062-0.15-0.298-0.026</f>
        <v>0.38799999999999962</v>
      </c>
    </row>
    <row r="1231" spans="2:6" x14ac:dyDescent="0.2">
      <c r="B1231" s="30" t="s">
        <v>353</v>
      </c>
      <c r="C1231" s="30" t="s">
        <v>1534</v>
      </c>
      <c r="D1231" s="30">
        <v>25</v>
      </c>
      <c r="E1231" s="101">
        <v>1.7</v>
      </c>
      <c r="F1231" s="99">
        <v>9.1999999999999998E-2</v>
      </c>
    </row>
    <row r="1232" spans="2:6" x14ac:dyDescent="0.2">
      <c r="B1232" s="30" t="s">
        <v>353</v>
      </c>
      <c r="C1232" s="30" t="s">
        <v>1534</v>
      </c>
      <c r="D1232" s="30">
        <v>40</v>
      </c>
      <c r="E1232" s="101" t="s">
        <v>2772</v>
      </c>
      <c r="F1232" s="34">
        <v>0.8</v>
      </c>
    </row>
    <row r="1233" spans="2:6" x14ac:dyDescent="0.2">
      <c r="B1233" s="30" t="s">
        <v>353</v>
      </c>
      <c r="C1233" s="30" t="s">
        <v>1534</v>
      </c>
      <c r="D1233" s="30">
        <v>45</v>
      </c>
      <c r="E1233" s="101">
        <v>3.2</v>
      </c>
      <c r="F1233" s="34">
        <f>0.514-0.08-0.305-0.04-0.036-0.045+0.868+0.858+(1.912-1.734)-0.04-0.042-0.666-0.118-0.196-0.438</f>
        <v>0.41199999999999987</v>
      </c>
    </row>
    <row r="1234" spans="2:6" x14ac:dyDescent="0.2">
      <c r="B1234" s="30" t="s">
        <v>353</v>
      </c>
      <c r="C1234" s="30" t="s">
        <v>1534</v>
      </c>
      <c r="D1234" s="30">
        <v>48</v>
      </c>
      <c r="E1234" s="101" t="s">
        <v>2773</v>
      </c>
      <c r="F1234" s="34">
        <v>7.8E-2</v>
      </c>
    </row>
    <row r="1235" spans="2:6" x14ac:dyDescent="0.2">
      <c r="B1235" s="30" t="s">
        <v>353</v>
      </c>
      <c r="C1235" s="30" t="s">
        <v>1534</v>
      </c>
      <c r="D1235" s="30">
        <v>50</v>
      </c>
      <c r="E1235" s="101" t="s">
        <v>2774</v>
      </c>
      <c r="F1235" s="34">
        <f>0.229-0.229+0.314-0.314+0.099-0.099+0.27+0.728-0.158+0.168-0.06-0.008+0.98+0.948+0.068-0.052-0.108-0.398-0.098-0.124+0.054-0.055-0.125-0.115-0.115-0.235-0.215-0.17-0.355-0.012-0.008-0.056-0.12-0.14-0.066-0.016+1.3-0.074-0.03-0.186+0.41-0.016-0.026+(0.129+0.092)+0.766+0.662+(0.86+0.042-0.186-0.512)-0.246-0.048-0.56-0.016-0.094-0.136</f>
        <v>2.5379999999999989</v>
      </c>
    </row>
    <row r="1236" spans="2:6" x14ac:dyDescent="0.2">
      <c r="B1236" s="30" t="s">
        <v>353</v>
      </c>
      <c r="C1236" s="30" t="s">
        <v>1534</v>
      </c>
      <c r="D1236" s="30">
        <v>60</v>
      </c>
      <c r="E1236" s="101">
        <v>2.5099999999999998</v>
      </c>
      <c r="F1236" s="99">
        <f>0.27-0.27+0.189+0.71+0.366-0.124-0.064-0.166-0.01-0.306+3.144+0.164+0.532-0.406-0.068-0.008-0.012-0.304-0.07-0.068-0.022-0.148-0.738-0.342-0.305-0.032-0.13-0.395-0.065+0.12-0.022-0.11-0.06-0.07-0.14-0.15-0.22-0.312-0.09+(0.166-0.268)+(0.04)</f>
        <v>0.2060000000000009</v>
      </c>
    </row>
    <row r="1237" spans="2:6" x14ac:dyDescent="0.2">
      <c r="B1237" s="30" t="s">
        <v>353</v>
      </c>
      <c r="C1237" s="30" t="s">
        <v>1534</v>
      </c>
      <c r="D1237" s="30">
        <v>65</v>
      </c>
      <c r="E1237" s="101" t="s">
        <v>2775</v>
      </c>
      <c r="F1237" s="99">
        <f>0.774-0.438+(0.204)-0.088-0.222-0.086</f>
        <v>0.14400000000000007</v>
      </c>
    </row>
    <row r="1238" spans="2:6" x14ac:dyDescent="0.2">
      <c r="B1238" s="30" t="s">
        <v>353</v>
      </c>
      <c r="C1238" s="30" t="s">
        <v>1534</v>
      </c>
      <c r="D1238" s="30">
        <v>70</v>
      </c>
      <c r="E1238" s="101">
        <v>5.4</v>
      </c>
      <c r="F1238" s="99">
        <f>0.33+0.95-0.034-0.222-0.01+0.98-0.21-0.142-0.14+0.428-0.124-0.044</f>
        <v>1.762</v>
      </c>
    </row>
    <row r="1239" spans="2:6" x14ac:dyDescent="0.2">
      <c r="B1239" s="30" t="s">
        <v>353</v>
      </c>
      <c r="C1239" s="30" t="s">
        <v>1534</v>
      </c>
      <c r="D1239" s="30">
        <v>80</v>
      </c>
      <c r="E1239" s="101" t="s">
        <v>2776</v>
      </c>
      <c r="F1239" s="34">
        <f>1.388-0.44-0.115-0.02-0.03-0.022-0.05-0.156-0.078-0.058-0.22-0.04-0.02-0.01+(0.264+0.578-0.43)+2.06-0.04-0.164-0.35-0.174-0.34-0.04-0.04-0.068-0.04-0.13-0.008-0.086-0.04-0.134+1.23-0.048-0.174-0.15-0.326-0.01-0.2+(0.15)-0.21</f>
        <v>1.2089999999999992</v>
      </c>
    </row>
    <row r="1240" spans="2:6" x14ac:dyDescent="0.2">
      <c r="B1240" s="30" t="s">
        <v>353</v>
      </c>
      <c r="C1240" s="30" t="s">
        <v>1534</v>
      </c>
      <c r="D1240" s="30">
        <v>85</v>
      </c>
      <c r="E1240" s="101" t="s">
        <v>2777</v>
      </c>
      <c r="F1240" s="99">
        <f>1.45-0.12-0.124-0.36-0.12-0.058-0.06-0.12</f>
        <v>0.48799999999999988</v>
      </c>
    </row>
    <row r="1241" spans="2:6" x14ac:dyDescent="0.2">
      <c r="B1241" s="30" t="s">
        <v>353</v>
      </c>
      <c r="C1241" s="30" t="s">
        <v>1534</v>
      </c>
      <c r="D1241" s="30">
        <v>90</v>
      </c>
      <c r="E1241" s="101" t="s">
        <v>2778</v>
      </c>
      <c r="F1241" s="99">
        <f>0.552-0.236+0.94-0.122-0.1-0.25+1.99-0.008+0.098-0.08+(0.013)-0.098-0.15-0.1-0.1-0.398</f>
        <v>1.9509999999999996</v>
      </c>
    </row>
    <row r="1242" spans="2:6" x14ac:dyDescent="0.2">
      <c r="B1242" s="30" t="s">
        <v>353</v>
      </c>
      <c r="C1242" s="30" t="s">
        <v>1534</v>
      </c>
      <c r="D1242" s="30">
        <v>95</v>
      </c>
      <c r="E1242" s="101">
        <v>3.6</v>
      </c>
      <c r="F1242" s="99">
        <f>0.36-0.078-0.052</f>
        <v>0.22999999999999998</v>
      </c>
    </row>
    <row r="1243" spans="2:6" x14ac:dyDescent="0.2">
      <c r="B1243" s="30" t="s">
        <v>353</v>
      </c>
      <c r="C1243" s="30" t="s">
        <v>1534</v>
      </c>
      <c r="D1243" s="30">
        <v>120</v>
      </c>
      <c r="E1243" s="101">
        <v>2.95</v>
      </c>
      <c r="F1243" s="99">
        <f>0.905+0.408-0.268+2.56-0.45-0.482-0.132-0.398-0.038-0.416-0.054-0.098-0.856-0.024-0.062-0.454+2.252-0.128-0.088-0.042-0.426-0.054-0.226-0.51</f>
        <v>0.91899999999999982</v>
      </c>
    </row>
    <row r="1244" spans="2:6" x14ac:dyDescent="0.2">
      <c r="B1244" s="30" t="s">
        <v>353</v>
      </c>
      <c r="C1244" s="30" t="s">
        <v>1534</v>
      </c>
      <c r="D1244" s="30">
        <v>140</v>
      </c>
      <c r="E1244" s="101" t="s">
        <v>2779</v>
      </c>
      <c r="F1244" s="34">
        <f>2.647-0.398-0.558-0.056-0.01-0.414-0.01-0.028-0.726-0.056-0.2</f>
        <v>0.19099999999999961</v>
      </c>
    </row>
    <row r="1245" spans="2:6" x14ac:dyDescent="0.2">
      <c r="B1245" s="30" t="s">
        <v>353</v>
      </c>
      <c r="C1245" s="30" t="s">
        <v>1534</v>
      </c>
      <c r="D1245" s="30">
        <v>150</v>
      </c>
      <c r="E1245" s="101" t="s">
        <v>2780</v>
      </c>
      <c r="F1245" s="99">
        <f>1.985-0.012-0.072-0.074-0.98</f>
        <v>0.84699999999999998</v>
      </c>
    </row>
    <row r="1246" spans="2:6" x14ac:dyDescent="0.2">
      <c r="B1246" s="30" t="s">
        <v>353</v>
      </c>
      <c r="C1246" s="30" t="s">
        <v>1534</v>
      </c>
      <c r="D1246" s="30">
        <v>160</v>
      </c>
      <c r="E1246" s="101"/>
      <c r="F1246" s="99">
        <f>1.41-0.17-0.108-0.432-0.394-0.118</f>
        <v>0.18799999999999994</v>
      </c>
    </row>
    <row r="1247" spans="2:6" x14ac:dyDescent="0.2">
      <c r="B1247" s="30" t="s">
        <v>353</v>
      </c>
      <c r="C1247" s="30" t="s">
        <v>1534</v>
      </c>
      <c r="D1247" s="30">
        <v>180</v>
      </c>
      <c r="E1247" s="101"/>
      <c r="F1247" s="34">
        <f>1.098-0.104-0.106-0.006+0.404-0.034-0.086-0.208-0.238-0.72+(0.312)</f>
        <v>0.312</v>
      </c>
    </row>
    <row r="1248" spans="2:6" x14ac:dyDescent="0.2">
      <c r="B1248" s="30" t="s">
        <v>353</v>
      </c>
      <c r="C1248" s="30" t="s">
        <v>1534</v>
      </c>
      <c r="D1248" s="30">
        <v>200</v>
      </c>
      <c r="E1248" s="101"/>
      <c r="F1248" s="99">
        <f>0.626+4.794-0.154-0.034-1.038-0.054-0.286-0.34</f>
        <v>3.5139999999999998</v>
      </c>
    </row>
    <row r="1249" spans="2:6" x14ac:dyDescent="0.2">
      <c r="B1249" s="30" t="s">
        <v>353</v>
      </c>
      <c r="C1249" s="30" t="s">
        <v>1534</v>
      </c>
      <c r="D1249" s="30">
        <v>250</v>
      </c>
      <c r="E1249" s="101"/>
      <c r="F1249" s="99">
        <f>2.688-0.14-0.062-0.592-0.042-0.12-0.042</f>
        <v>1.6900000000000002</v>
      </c>
    </row>
    <row r="1250" spans="2:6" x14ac:dyDescent="0.2">
      <c r="B1250" s="101" t="s">
        <v>353</v>
      </c>
      <c r="C1250" s="30" t="s">
        <v>1534</v>
      </c>
      <c r="D1250" s="101" t="s">
        <v>1535</v>
      </c>
      <c r="E1250" s="183"/>
      <c r="F1250" s="99">
        <v>0.14000000000000001</v>
      </c>
    </row>
    <row r="1251" spans="2:6" x14ac:dyDescent="0.2">
      <c r="B1251" s="101" t="s">
        <v>353</v>
      </c>
      <c r="C1251" s="30" t="s">
        <v>1534</v>
      </c>
      <c r="D1251" s="101">
        <v>50</v>
      </c>
      <c r="E1251" s="25"/>
      <c r="F1251" s="99">
        <v>0.35</v>
      </c>
    </row>
    <row r="1252" spans="2:6" x14ac:dyDescent="0.2">
      <c r="B1252" s="101" t="s">
        <v>353</v>
      </c>
      <c r="C1252" s="30" t="s">
        <v>1534</v>
      </c>
      <c r="D1252" s="101">
        <v>90</v>
      </c>
      <c r="E1252" s="25"/>
      <c r="F1252" s="99">
        <v>0.18</v>
      </c>
    </row>
    <row r="1253" spans="2:6" x14ac:dyDescent="0.2">
      <c r="B1253" s="101" t="s">
        <v>353</v>
      </c>
      <c r="C1253" s="30" t="s">
        <v>1534</v>
      </c>
      <c r="D1253" s="101">
        <v>90</v>
      </c>
      <c r="E1253" s="25"/>
      <c r="F1253" s="99">
        <f>8.225-0.235-0.08-0.155-0.08-0.16-0.08-0.33-0.08-0.56-0.125-0.08-0.54-0.16-0.08-0.08-0.32-0.62-0.08-0.72-0.72</f>
        <v>2.9399999999999977</v>
      </c>
    </row>
    <row r="1254" spans="2:6" x14ac:dyDescent="0.2">
      <c r="B1254" s="101" t="s">
        <v>353</v>
      </c>
      <c r="C1254" s="30" t="s">
        <v>1534</v>
      </c>
      <c r="D1254" s="101">
        <v>120</v>
      </c>
      <c r="E1254" s="25"/>
      <c r="F1254" s="99">
        <v>0.67</v>
      </c>
    </row>
    <row r="1255" spans="2:6" x14ac:dyDescent="0.2">
      <c r="B1255" s="101" t="s">
        <v>353</v>
      </c>
      <c r="C1255" s="30" t="s">
        <v>1534</v>
      </c>
      <c r="D1255" s="101">
        <v>160</v>
      </c>
      <c r="E1255" s="183"/>
      <c r="F1255" s="99">
        <v>0.77</v>
      </c>
    </row>
    <row r="1256" spans="2:6" x14ac:dyDescent="0.2">
      <c r="B1256" s="101" t="s">
        <v>353</v>
      </c>
      <c r="C1256" s="30" t="s">
        <v>1534</v>
      </c>
      <c r="D1256" s="101">
        <v>180</v>
      </c>
      <c r="E1256" s="25"/>
      <c r="F1256" s="99">
        <v>7.0000000000000007E-2</v>
      </c>
    </row>
    <row r="1257" spans="2:6" x14ac:dyDescent="0.2">
      <c r="B1257" s="36" t="s">
        <v>353</v>
      </c>
      <c r="C1257" s="176" t="s">
        <v>824</v>
      </c>
      <c r="D1257" s="36">
        <v>8</v>
      </c>
      <c r="E1257" s="44" t="s">
        <v>797</v>
      </c>
      <c r="F1257" s="45">
        <v>0.76</v>
      </c>
    </row>
    <row r="1258" spans="2:6" x14ac:dyDescent="0.2">
      <c r="B1258" s="4" t="s">
        <v>353</v>
      </c>
      <c r="C1258" s="176" t="s">
        <v>824</v>
      </c>
      <c r="D1258" s="37" t="s">
        <v>660</v>
      </c>
      <c r="E1258" s="5" t="s">
        <v>296</v>
      </c>
      <c r="F1258" s="39">
        <v>1.8</v>
      </c>
    </row>
    <row r="1259" spans="2:6" x14ac:dyDescent="0.2">
      <c r="B1259" s="101" t="s">
        <v>353</v>
      </c>
      <c r="C1259" s="184" t="s">
        <v>1685</v>
      </c>
      <c r="D1259" s="101">
        <v>280</v>
      </c>
      <c r="E1259" s="183"/>
      <c r="F1259" s="99">
        <v>0.88</v>
      </c>
    </row>
    <row r="1260" spans="2:6" x14ac:dyDescent="0.2">
      <c r="B1260" s="30" t="s">
        <v>353</v>
      </c>
      <c r="C1260" s="30" t="s">
        <v>426</v>
      </c>
      <c r="D1260" s="30">
        <v>400</v>
      </c>
      <c r="E1260" s="101"/>
      <c r="F1260" s="99">
        <v>0.45200000000000001</v>
      </c>
    </row>
    <row r="1261" spans="2:6" x14ac:dyDescent="0.2">
      <c r="B1261" s="4" t="s">
        <v>353</v>
      </c>
      <c r="C1261" s="174" t="s">
        <v>308</v>
      </c>
      <c r="D1261" s="64" t="s">
        <v>658</v>
      </c>
      <c r="E1261" s="5" t="s">
        <v>34</v>
      </c>
      <c r="F1261" s="39">
        <v>0.255</v>
      </c>
    </row>
    <row r="1262" spans="2:6" x14ac:dyDescent="0.2">
      <c r="B1262" s="4" t="s">
        <v>353</v>
      </c>
      <c r="C1262" s="174" t="s">
        <v>308</v>
      </c>
      <c r="D1262" s="37" t="s">
        <v>659</v>
      </c>
      <c r="E1262" s="5" t="s">
        <v>36</v>
      </c>
      <c r="F1262" s="39">
        <v>1.28</v>
      </c>
    </row>
    <row r="1263" spans="2:6" x14ac:dyDescent="0.2">
      <c r="B1263" s="4" t="s">
        <v>353</v>
      </c>
      <c r="C1263" s="174" t="s">
        <v>308</v>
      </c>
      <c r="D1263" s="37" t="s">
        <v>659</v>
      </c>
      <c r="E1263" s="5" t="s">
        <v>36</v>
      </c>
      <c r="F1263" s="39">
        <v>0.77</v>
      </c>
    </row>
    <row r="1264" spans="2:6" x14ac:dyDescent="0.2">
      <c r="B1264" s="4" t="s">
        <v>353</v>
      </c>
      <c r="C1264" s="174" t="s">
        <v>308</v>
      </c>
      <c r="D1264" s="37" t="s">
        <v>663</v>
      </c>
      <c r="E1264" s="5">
        <v>3.11</v>
      </c>
      <c r="F1264" s="39">
        <v>0.15</v>
      </c>
    </row>
    <row r="1265" spans="2:6" x14ac:dyDescent="0.2">
      <c r="B1265" s="4" t="s">
        <v>353</v>
      </c>
      <c r="C1265" s="174" t="s">
        <v>308</v>
      </c>
      <c r="D1265" s="37" t="s">
        <v>666</v>
      </c>
      <c r="E1265" s="5">
        <v>4.4000000000000004</v>
      </c>
      <c r="F1265" s="39">
        <v>0.98</v>
      </c>
    </row>
    <row r="1266" spans="2:6" x14ac:dyDescent="0.2">
      <c r="B1266" s="4" t="s">
        <v>353</v>
      </c>
      <c r="C1266" s="174" t="s">
        <v>308</v>
      </c>
      <c r="D1266" s="37" t="s">
        <v>672</v>
      </c>
      <c r="E1266" s="5">
        <v>1.1399999999999999</v>
      </c>
      <c r="F1266" s="39">
        <v>0.16</v>
      </c>
    </row>
    <row r="1267" spans="2:6" x14ac:dyDescent="0.2">
      <c r="B1267" s="101" t="s">
        <v>353</v>
      </c>
      <c r="C1267" s="30" t="s">
        <v>308</v>
      </c>
      <c r="D1267" s="101">
        <v>150</v>
      </c>
      <c r="E1267" s="25"/>
      <c r="F1267" s="99">
        <v>0.3</v>
      </c>
    </row>
    <row r="1268" spans="2:6" x14ac:dyDescent="0.2">
      <c r="B1268" s="101" t="s">
        <v>353</v>
      </c>
      <c r="C1268" s="30" t="s">
        <v>1574</v>
      </c>
      <c r="D1268" s="101">
        <v>70</v>
      </c>
      <c r="E1268" s="183"/>
      <c r="F1268" s="99">
        <v>0.105</v>
      </c>
    </row>
    <row r="1269" spans="2:6" x14ac:dyDescent="0.2">
      <c r="B1269" s="30" t="s">
        <v>353</v>
      </c>
      <c r="C1269" s="30" t="s">
        <v>412</v>
      </c>
      <c r="D1269" s="30" t="s">
        <v>2669</v>
      </c>
      <c r="E1269" s="101"/>
      <c r="F1269" s="99">
        <f>3.06-0.045-2.495-0.5+3.31-0.016-0.02-0.045-0.105-0.024-0.01-0.048-0.118-0.26-0.06-0.118-0.012-0.014-0.06-0.21</f>
        <v>2.2100000000000004</v>
      </c>
    </row>
    <row r="1270" spans="2:6" x14ac:dyDescent="0.2">
      <c r="B1270" s="30" t="s">
        <v>353</v>
      </c>
      <c r="C1270" s="30" t="s">
        <v>412</v>
      </c>
      <c r="D1270" s="30" t="s">
        <v>2670</v>
      </c>
      <c r="E1270" s="101"/>
      <c r="F1270" s="34">
        <f>1.49-1.49+1.92-0.315-0.24-0.095-0.15-0.045-0.205-0.205-0.018-0.04-0.132-0.02-0.03-0.038-0.22-0.102-0.028-0.042+(0.005)+3.2-0.072-0.204-0.03-0.102-0.216+(-2.576+1.008+3.268)-0.018-0.038-0.018-0.09</f>
        <v>4.1120000000000001</v>
      </c>
    </row>
    <row r="1271" spans="2:6" x14ac:dyDescent="0.2">
      <c r="B1271" s="30" t="s">
        <v>353</v>
      </c>
      <c r="C1271" s="30" t="s">
        <v>412</v>
      </c>
      <c r="D1271" s="30">
        <v>25</v>
      </c>
      <c r="E1271" s="101"/>
      <c r="F1271" s="34">
        <v>0.78600000000000003</v>
      </c>
    </row>
    <row r="1272" spans="2:6" x14ac:dyDescent="0.2">
      <c r="B1272" s="30" t="s">
        <v>353</v>
      </c>
      <c r="C1272" s="30" t="s">
        <v>412</v>
      </c>
      <c r="D1272" s="30" t="s">
        <v>2671</v>
      </c>
      <c r="E1272" s="101"/>
      <c r="F1272" s="34">
        <f>3.47-0.145-0.05-0.075-0.025-0.145-0.05-0.024-0.025-0.215-0.07-0.006-0.12-0.022-1.34-0.226-0.024-0.026-0.29-0.07-0.122-0.002+3.25-0.07-0.124-0.12-0.05-0.026-0.164-0.026-0.294-0.102-0.026-0.052-0.05-0.052-0.098</f>
        <v>2.3940000000000019</v>
      </c>
    </row>
    <row r="1273" spans="2:6" x14ac:dyDescent="0.2">
      <c r="B1273" s="30" t="s">
        <v>353</v>
      </c>
      <c r="C1273" s="30" t="s">
        <v>412</v>
      </c>
      <c r="D1273" s="30" t="s">
        <v>2672</v>
      </c>
      <c r="E1273" s="101"/>
      <c r="F1273" s="99">
        <f>2.83-2.83+2.96-0.038-2.922+4.4-0.098-3.522-0.038-0.05-0.038-0.116-0.118+2.13-0.112-0.11-0.078-0.038-0.04-0.19-0.074-0.074-0.036-0.038-0.038-0.112-0.24-0.038-0.076-0.19-0.08-0.038</f>
        <v>0.94800000000000073</v>
      </c>
    </row>
    <row r="1274" spans="2:6" x14ac:dyDescent="0.2">
      <c r="B1274" s="30" t="s">
        <v>353</v>
      </c>
      <c r="C1274" s="30" t="s">
        <v>412</v>
      </c>
      <c r="D1274" s="30" t="s">
        <v>2673</v>
      </c>
      <c r="E1274" s="101"/>
      <c r="F1274" s="180" t="s">
        <v>1161</v>
      </c>
    </row>
    <row r="1275" spans="2:6" x14ac:dyDescent="0.2">
      <c r="B1275" s="30" t="s">
        <v>353</v>
      </c>
      <c r="C1275" s="30" t="s">
        <v>412</v>
      </c>
      <c r="D1275" s="30" t="s">
        <v>2674</v>
      </c>
      <c r="E1275" s="101"/>
      <c r="F1275" s="34">
        <f>3.42-0.172-0.086-0.174-0.176-0.086-0.244-0.084-0.088-0.172-0.088-0.086-0.514-0.17-0.258+(0.084)-0.172-0.09-0.086-0.088-0.088-0.084-0.088-0.048-0.088-0.086+3.55-0.174-0.088-0.26</f>
        <v>3.2160000000000002</v>
      </c>
    </row>
    <row r="1276" spans="2:6" x14ac:dyDescent="0.2">
      <c r="B1276" s="30" t="s">
        <v>353</v>
      </c>
      <c r="C1276" s="30" t="s">
        <v>412</v>
      </c>
      <c r="D1276" s="30" t="s">
        <v>2675</v>
      </c>
      <c r="E1276" s="101"/>
      <c r="F1276" s="34">
        <f>3.77-0.234-0.35-0.226-0.234-0.574-0.076-0.344-0.118-0.218-0.234-0.234</f>
        <v>0.92800000000000038</v>
      </c>
    </row>
    <row r="1277" spans="2:6" x14ac:dyDescent="0.2">
      <c r="B1277" s="30" t="s">
        <v>353</v>
      </c>
      <c r="C1277" s="30" t="s">
        <v>412</v>
      </c>
      <c r="D1277" s="30" t="s">
        <v>2676</v>
      </c>
      <c r="E1277" s="101"/>
      <c r="F1277" s="34">
        <f>2.47+0.254-0.456-0.152-0.112-0.154-0.152-0.124-0.134-0.092</f>
        <v>1.3480000000000003</v>
      </c>
    </row>
    <row r="1278" spans="2:6" x14ac:dyDescent="0.2">
      <c r="B1278" s="30" t="s">
        <v>353</v>
      </c>
      <c r="C1278" s="30" t="s">
        <v>412</v>
      </c>
      <c r="D1278" s="30" t="s">
        <v>2677</v>
      </c>
      <c r="E1278" s="101"/>
      <c r="F1278" s="180" t="s">
        <v>1161</v>
      </c>
    </row>
    <row r="1279" spans="2:6" x14ac:dyDescent="0.2">
      <c r="B1279" s="30" t="s">
        <v>353</v>
      </c>
      <c r="C1279" s="30" t="s">
        <v>412</v>
      </c>
      <c r="D1279" s="30" t="s">
        <v>2678</v>
      </c>
      <c r="E1279" s="101"/>
      <c r="F1279" s="34">
        <f>0.5+2.1-0.05-0.128-0.2-0.17-0.06</f>
        <v>1.992</v>
      </c>
    </row>
    <row r="1280" spans="2:6" x14ac:dyDescent="0.2">
      <c r="B1280" s="30" t="s">
        <v>353</v>
      </c>
      <c r="C1280" s="30" t="s">
        <v>412</v>
      </c>
      <c r="D1280" s="30" t="s">
        <v>2679</v>
      </c>
      <c r="E1280" s="101"/>
      <c r="F1280" s="34">
        <f>3.76-0.09-0.032-0.294-0.132</f>
        <v>3.2119999999999997</v>
      </c>
    </row>
    <row r="1281" spans="2:6" x14ac:dyDescent="0.2">
      <c r="B1281" s="30" t="s">
        <v>353</v>
      </c>
      <c r="C1281" s="30" t="s">
        <v>412</v>
      </c>
      <c r="D1281" s="30" t="s">
        <v>2680</v>
      </c>
      <c r="E1281" s="101"/>
      <c r="F1281" s="34">
        <f>2.81-2.81+2.46-0.35-0.034-1.74+2.98-0.09-0.178-0.088-0.042-0.1+0.335-0.058-0.194-0.344-0.176-0.136-0.106-0.202-0.096-0.27-0.032-0.07-0.394-0.398+3.42-0.88+0.35-0.066-0.27-0.554-0.304-0.116-0.23</f>
        <v>2.0270000000000006</v>
      </c>
    </row>
    <row r="1282" spans="2:6" x14ac:dyDescent="0.2">
      <c r="B1282" s="30" t="s">
        <v>353</v>
      </c>
      <c r="C1282" s="30" t="s">
        <v>412</v>
      </c>
      <c r="D1282" s="30">
        <v>130</v>
      </c>
      <c r="E1282" s="101"/>
      <c r="F1282" s="34">
        <f>2.678-0.306+0.29-0.154-0.052-0.204-0.34-0.056+0.356-0.06-0.052-0.154</f>
        <v>1.9459999999999997</v>
      </c>
    </row>
    <row r="1283" spans="2:6" x14ac:dyDescent="0.2">
      <c r="B1283" s="30" t="s">
        <v>353</v>
      </c>
      <c r="C1283" s="30" t="s">
        <v>412</v>
      </c>
      <c r="D1283" s="30" t="s">
        <v>2681</v>
      </c>
      <c r="E1283" s="101"/>
      <c r="F1283" s="34">
        <f>3.83-2.43-0.474-0.478+4.3-0.126</f>
        <v>4.621999999999999</v>
      </c>
    </row>
    <row r="1284" spans="2:6" x14ac:dyDescent="0.2">
      <c r="B1284" s="30" t="s">
        <v>353</v>
      </c>
      <c r="C1284" s="30" t="s">
        <v>412</v>
      </c>
      <c r="D1284" s="30" t="s">
        <v>2682</v>
      </c>
      <c r="E1284" s="101"/>
      <c r="F1284" s="180" t="s">
        <v>1161</v>
      </c>
    </row>
    <row r="1285" spans="2:6" x14ac:dyDescent="0.2">
      <c r="B1285" s="30" t="s">
        <v>353</v>
      </c>
      <c r="C1285" s="30" t="s">
        <v>412</v>
      </c>
      <c r="D1285" s="30" t="s">
        <v>2683</v>
      </c>
      <c r="E1285" s="101"/>
      <c r="F1285" s="99">
        <f>2.94-0.726-0.064-0.092-0.12-0.02-0.362-0.08-0.036-0.13-0.72-0.528-0.052-(0.01)+3.08-0.48+0.435+0.57-0.028-0.116-0.044-0.53-1.592-0.064-0.198+1.86-0.102-1.836-0.358+1.14+(0.304)-0.074-0.562-0.074-0.416-0.096-0.524+3.79-0.238-0.242-0.14-1.096-0.18</f>
        <v>2.1889999999999987</v>
      </c>
    </row>
    <row r="1286" spans="2:6" x14ac:dyDescent="0.2">
      <c r="B1286" s="30" t="s">
        <v>353</v>
      </c>
      <c r="C1286" s="30" t="s">
        <v>412</v>
      </c>
      <c r="D1286" s="30" t="s">
        <v>2684</v>
      </c>
      <c r="E1286" s="101"/>
      <c r="F1286" s="34">
        <f>3.66-0.244-0.924</f>
        <v>2.4920000000000004</v>
      </c>
    </row>
    <row r="1287" spans="2:6" x14ac:dyDescent="0.2">
      <c r="B1287" s="30" t="s">
        <v>353</v>
      </c>
      <c r="C1287" s="30" t="s">
        <v>412</v>
      </c>
      <c r="D1287" s="30" t="s">
        <v>2685</v>
      </c>
      <c r="E1287" s="101"/>
      <c r="F1287" s="34">
        <f>3.44-0.134-0.05-0.928</f>
        <v>2.3280000000000003</v>
      </c>
    </row>
    <row r="1288" spans="2:6" x14ac:dyDescent="0.2">
      <c r="B1288" s="30" t="s">
        <v>353</v>
      </c>
      <c r="C1288" s="30" t="s">
        <v>412</v>
      </c>
      <c r="D1288" s="30" t="s">
        <v>2686</v>
      </c>
      <c r="E1288" s="101"/>
      <c r="F1288" s="34">
        <v>4.26</v>
      </c>
    </row>
    <row r="1289" spans="2:6" x14ac:dyDescent="0.2">
      <c r="B1289" s="30" t="s">
        <v>353</v>
      </c>
      <c r="C1289" s="30" t="s">
        <v>412</v>
      </c>
      <c r="D1289" s="30" t="s">
        <v>2687</v>
      </c>
      <c r="E1289" s="101"/>
      <c r="F1289" s="180" t="s">
        <v>1161</v>
      </c>
    </row>
    <row r="1290" spans="2:6" x14ac:dyDescent="0.2">
      <c r="B1290" s="101" t="s">
        <v>353</v>
      </c>
      <c r="C1290" s="30" t="s">
        <v>1577</v>
      </c>
      <c r="D1290" s="101">
        <v>75</v>
      </c>
      <c r="E1290" s="183"/>
      <c r="F1290" s="99">
        <f>3.2-0.655-0.1</f>
        <v>2.4449999999999998</v>
      </c>
    </row>
    <row r="1291" spans="2:6" x14ac:dyDescent="0.2">
      <c r="B1291" s="101" t="s">
        <v>353</v>
      </c>
      <c r="C1291" s="30" t="s">
        <v>1625</v>
      </c>
      <c r="D1291" s="101">
        <v>180</v>
      </c>
      <c r="E1291" s="25"/>
      <c r="F1291" s="99">
        <v>0.59</v>
      </c>
    </row>
    <row r="1292" spans="2:6" x14ac:dyDescent="0.2">
      <c r="B1292" s="101" t="s">
        <v>353</v>
      </c>
      <c r="C1292" s="30" t="s">
        <v>1601</v>
      </c>
      <c r="D1292" s="101">
        <v>100</v>
      </c>
      <c r="E1292" s="25"/>
      <c r="F1292" s="99">
        <v>0.18</v>
      </c>
    </row>
    <row r="1293" spans="2:6" x14ac:dyDescent="0.2">
      <c r="B1293" s="101" t="s">
        <v>353</v>
      </c>
      <c r="C1293" s="30" t="s">
        <v>1572</v>
      </c>
      <c r="D1293" s="101">
        <v>60</v>
      </c>
      <c r="E1293" s="25"/>
      <c r="F1293" s="99">
        <v>7.0000000000000007E-2</v>
      </c>
    </row>
    <row r="1294" spans="2:6" x14ac:dyDescent="0.2">
      <c r="B1294" s="101" t="s">
        <v>353</v>
      </c>
      <c r="C1294" s="30" t="s">
        <v>1563</v>
      </c>
      <c r="D1294" s="101">
        <v>50</v>
      </c>
      <c r="E1294" s="25"/>
      <c r="F1294" s="99">
        <f>0.7-0.12</f>
        <v>0.57999999999999996</v>
      </c>
    </row>
    <row r="1295" spans="2:6" x14ac:dyDescent="0.2">
      <c r="B1295" s="101" t="s">
        <v>353</v>
      </c>
      <c r="C1295" s="30" t="s">
        <v>1556</v>
      </c>
      <c r="D1295" s="101">
        <v>40</v>
      </c>
      <c r="E1295" s="25"/>
      <c r="F1295" s="99">
        <f>2.15-0.11-0.3</f>
        <v>1.74</v>
      </c>
    </row>
    <row r="1296" spans="2:6" x14ac:dyDescent="0.2">
      <c r="B1296" s="101" t="s">
        <v>353</v>
      </c>
      <c r="C1296" s="30" t="s">
        <v>1556</v>
      </c>
      <c r="D1296" s="101">
        <v>40</v>
      </c>
      <c r="E1296" s="101"/>
      <c r="F1296" s="99">
        <v>0.4</v>
      </c>
    </row>
    <row r="1297" spans="2:6" x14ac:dyDescent="0.2">
      <c r="B1297" s="101" t="s">
        <v>353</v>
      </c>
      <c r="C1297" s="30"/>
      <c r="D1297" s="101">
        <v>36</v>
      </c>
      <c r="E1297" s="183"/>
      <c r="F1297" s="99">
        <v>0.49</v>
      </c>
    </row>
    <row r="1298" spans="2:6" x14ac:dyDescent="0.2">
      <c r="B1298" s="101" t="s">
        <v>353</v>
      </c>
      <c r="C1298" s="30"/>
      <c r="D1298" s="101">
        <v>175</v>
      </c>
      <c r="E1298" s="25"/>
      <c r="F1298" s="99">
        <v>1.19</v>
      </c>
    </row>
    <row r="1299" spans="2:6" x14ac:dyDescent="0.2">
      <c r="B1299" s="101" t="s">
        <v>353</v>
      </c>
      <c r="C1299" s="30"/>
      <c r="D1299" s="101" t="s">
        <v>2447</v>
      </c>
      <c r="E1299" s="183"/>
      <c r="F1299" s="99">
        <v>0.9</v>
      </c>
    </row>
    <row r="1300" spans="2:6" x14ac:dyDescent="0.2">
      <c r="B1300" s="101" t="s">
        <v>353</v>
      </c>
      <c r="C1300" s="30"/>
      <c r="D1300" s="101" t="s">
        <v>1657</v>
      </c>
      <c r="E1300" s="25"/>
      <c r="F1300" s="99"/>
    </row>
    <row r="1301" spans="2:6" x14ac:dyDescent="0.2">
      <c r="B1301" s="30" t="s">
        <v>2430</v>
      </c>
      <c r="C1301" s="30">
        <v>20</v>
      </c>
      <c r="D1301" s="30" t="s">
        <v>2690</v>
      </c>
      <c r="E1301" s="101"/>
      <c r="F1301" s="99">
        <f>7.08-7.08+6.315</f>
        <v>6.3150000000000004</v>
      </c>
    </row>
    <row r="1302" spans="2:6" x14ac:dyDescent="0.2">
      <c r="B1302" s="101" t="s">
        <v>2430</v>
      </c>
      <c r="C1302" s="30">
        <v>20</v>
      </c>
      <c r="D1302" s="101">
        <v>170</v>
      </c>
      <c r="E1302" s="183"/>
      <c r="F1302" s="99">
        <v>0.13</v>
      </c>
    </row>
    <row r="1303" spans="2:6" x14ac:dyDescent="0.2">
      <c r="B1303" s="101" t="s">
        <v>2430</v>
      </c>
      <c r="C1303" s="30">
        <v>20</v>
      </c>
      <c r="D1303" s="101">
        <v>245</v>
      </c>
      <c r="E1303" s="183"/>
      <c r="F1303" s="99">
        <v>0.06</v>
      </c>
    </row>
    <row r="1304" spans="2:6" x14ac:dyDescent="0.2">
      <c r="B1304" s="101" t="s">
        <v>2430</v>
      </c>
      <c r="C1304" s="30">
        <v>20</v>
      </c>
      <c r="D1304" s="101">
        <v>300</v>
      </c>
      <c r="E1304" s="183"/>
      <c r="F1304" s="99">
        <f>3.47+0.31+2.3</f>
        <v>6.08</v>
      </c>
    </row>
    <row r="1305" spans="2:6" x14ac:dyDescent="0.2">
      <c r="B1305" s="101" t="s">
        <v>2430</v>
      </c>
      <c r="C1305" s="30">
        <v>20</v>
      </c>
      <c r="D1305" s="101">
        <v>310</v>
      </c>
      <c r="E1305" s="183"/>
      <c r="F1305" s="99">
        <v>0.25</v>
      </c>
    </row>
    <row r="1306" spans="2:6" x14ac:dyDescent="0.2">
      <c r="B1306" s="101" t="s">
        <v>2430</v>
      </c>
      <c r="C1306" s="30">
        <v>20</v>
      </c>
      <c r="D1306" s="101">
        <v>320</v>
      </c>
      <c r="E1306" s="183"/>
      <c r="F1306" s="99">
        <v>4.5999999999999996</v>
      </c>
    </row>
    <row r="1307" spans="2:6" x14ac:dyDescent="0.2">
      <c r="B1307" s="101" t="s">
        <v>2430</v>
      </c>
      <c r="C1307" s="30">
        <v>20</v>
      </c>
      <c r="D1307" s="101">
        <v>320</v>
      </c>
      <c r="E1307" s="183"/>
      <c r="F1307" s="99">
        <v>1.1000000000000001</v>
      </c>
    </row>
    <row r="1308" spans="2:6" x14ac:dyDescent="0.2">
      <c r="B1308" s="101" t="s">
        <v>2430</v>
      </c>
      <c r="C1308" s="30">
        <v>20</v>
      </c>
      <c r="D1308" s="101">
        <v>330</v>
      </c>
      <c r="E1308" s="183"/>
      <c r="F1308" s="99">
        <v>2.54</v>
      </c>
    </row>
    <row r="1309" spans="2:6" x14ac:dyDescent="0.2">
      <c r="B1309" s="101" t="s">
        <v>2430</v>
      </c>
      <c r="C1309" s="30">
        <v>20</v>
      </c>
      <c r="D1309" s="101">
        <v>330</v>
      </c>
      <c r="E1309" s="183"/>
      <c r="F1309" s="99">
        <v>0.06</v>
      </c>
    </row>
    <row r="1310" spans="2:6" x14ac:dyDescent="0.2">
      <c r="B1310" s="101" t="s">
        <v>2430</v>
      </c>
      <c r="C1310" s="30">
        <v>20</v>
      </c>
      <c r="D1310" s="101">
        <v>340</v>
      </c>
      <c r="E1310" s="99"/>
      <c r="F1310" s="99">
        <v>3.83</v>
      </c>
    </row>
    <row r="1311" spans="2:6" x14ac:dyDescent="0.2">
      <c r="B1311" s="101" t="s">
        <v>2430</v>
      </c>
      <c r="C1311" s="30">
        <v>20</v>
      </c>
      <c r="D1311" s="101">
        <v>340</v>
      </c>
      <c r="E1311" s="183"/>
      <c r="F1311" s="99">
        <v>0.18</v>
      </c>
    </row>
    <row r="1312" spans="2:6" x14ac:dyDescent="0.2">
      <c r="B1312" s="101" t="s">
        <v>2430</v>
      </c>
      <c r="C1312" s="30">
        <v>20</v>
      </c>
      <c r="D1312" s="101" t="s">
        <v>2493</v>
      </c>
      <c r="E1312" s="183"/>
      <c r="F1312" s="99">
        <f>4.5-0.22-0.22-0.11-0.115-0.11-0.11-0.11-0.11-0.11</f>
        <v>3.285000000000001</v>
      </c>
    </row>
    <row r="1313" spans="2:6" x14ac:dyDescent="0.2">
      <c r="B1313" s="101" t="s">
        <v>2430</v>
      </c>
      <c r="C1313" s="30">
        <v>20</v>
      </c>
      <c r="D1313" s="101" t="s">
        <v>2496</v>
      </c>
      <c r="E1313" s="183"/>
      <c r="F1313" s="99">
        <v>2.5000000000000001E-2</v>
      </c>
    </row>
    <row r="1314" spans="2:6" x14ac:dyDescent="0.2">
      <c r="B1314" s="101" t="s">
        <v>2430</v>
      </c>
      <c r="C1314" s="30">
        <v>20</v>
      </c>
      <c r="D1314" s="101">
        <v>350</v>
      </c>
      <c r="E1314" s="183"/>
      <c r="F1314" s="99">
        <f>4.91+2.29</f>
        <v>7.2</v>
      </c>
    </row>
    <row r="1315" spans="2:6" x14ac:dyDescent="0.2">
      <c r="B1315" s="101" t="s">
        <v>2430</v>
      </c>
      <c r="C1315" s="30">
        <v>20</v>
      </c>
      <c r="D1315" s="101">
        <v>350</v>
      </c>
      <c r="E1315" s="183"/>
      <c r="F1315" s="99">
        <f>4.58+0.45</f>
        <v>5.03</v>
      </c>
    </row>
    <row r="1316" spans="2:6" x14ac:dyDescent="0.2">
      <c r="B1316" s="30" t="s">
        <v>2430</v>
      </c>
      <c r="C1316" s="30">
        <v>35</v>
      </c>
      <c r="D1316" s="30">
        <v>310</v>
      </c>
      <c r="E1316" s="101"/>
      <c r="F1316" s="99">
        <f>1.778+1.578+1.816+1.678-0.472-0.414-0.65-0.148-0.18</f>
        <v>4.9860000000000007</v>
      </c>
    </row>
    <row r="1317" spans="2:6" x14ac:dyDescent="0.2">
      <c r="B1317" s="30" t="s">
        <v>2430</v>
      </c>
      <c r="C1317" s="30">
        <v>35</v>
      </c>
      <c r="D1317" s="30">
        <v>750</v>
      </c>
      <c r="E1317" s="101"/>
      <c r="F1317" s="99">
        <f>6.11-0.93</f>
        <v>5.1800000000000006</v>
      </c>
    </row>
    <row r="1318" spans="2:6" x14ac:dyDescent="0.2">
      <c r="B1318" s="30" t="s">
        <v>2430</v>
      </c>
      <c r="C1318" s="30">
        <v>35</v>
      </c>
      <c r="D1318" s="30">
        <v>820</v>
      </c>
      <c r="E1318" s="101"/>
      <c r="F1318" s="99">
        <v>4.1420000000000003</v>
      </c>
    </row>
    <row r="1319" spans="2:6" x14ac:dyDescent="0.2">
      <c r="B1319" s="30" t="s">
        <v>2430</v>
      </c>
      <c r="C1319" s="30">
        <v>35</v>
      </c>
      <c r="D1319" s="30">
        <v>830</v>
      </c>
      <c r="E1319" s="101"/>
      <c r="F1319" s="34">
        <f>4.476-4.476+(4.476)</f>
        <v>4.476</v>
      </c>
    </row>
    <row r="1320" spans="2:6" x14ac:dyDescent="0.2">
      <c r="B1320" s="30" t="s">
        <v>2430</v>
      </c>
      <c r="C1320" s="30">
        <v>35</v>
      </c>
      <c r="D1320" s="30">
        <v>920</v>
      </c>
      <c r="E1320" s="101"/>
      <c r="F1320" s="99">
        <v>3.2639999999999998</v>
      </c>
    </row>
    <row r="1321" spans="2:6" x14ac:dyDescent="0.2">
      <c r="B1321" s="30" t="s">
        <v>2430</v>
      </c>
      <c r="C1321" s="30">
        <v>35</v>
      </c>
      <c r="D1321" s="30">
        <v>1010</v>
      </c>
      <c r="E1321" s="101"/>
      <c r="F1321" s="99">
        <v>3.2</v>
      </c>
    </row>
    <row r="1322" spans="2:6" x14ac:dyDescent="0.2">
      <c r="B1322" s="101" t="s">
        <v>2430</v>
      </c>
      <c r="C1322" s="30">
        <v>35</v>
      </c>
      <c r="D1322" s="101">
        <v>250</v>
      </c>
      <c r="E1322" s="183"/>
      <c r="F1322" s="99"/>
    </row>
    <row r="1323" spans="2:6" x14ac:dyDescent="0.2">
      <c r="B1323" s="101" t="s">
        <v>2430</v>
      </c>
      <c r="C1323" s="30">
        <v>35</v>
      </c>
      <c r="D1323" s="101">
        <v>300</v>
      </c>
      <c r="E1323" s="183"/>
      <c r="F1323" s="99">
        <v>2.61</v>
      </c>
    </row>
    <row r="1324" spans="2:6" x14ac:dyDescent="0.2">
      <c r="B1324" s="101" t="s">
        <v>2430</v>
      </c>
      <c r="C1324" s="30">
        <v>35</v>
      </c>
      <c r="D1324" s="101">
        <v>330</v>
      </c>
      <c r="E1324" s="183"/>
      <c r="F1324" s="99">
        <v>5.96</v>
      </c>
    </row>
    <row r="1325" spans="2:6" x14ac:dyDescent="0.2">
      <c r="B1325" s="101" t="s">
        <v>2430</v>
      </c>
      <c r="C1325" s="30">
        <v>35</v>
      </c>
      <c r="D1325" s="101">
        <v>330</v>
      </c>
      <c r="E1325" s="183"/>
      <c r="F1325" s="99">
        <v>4.1500000000000004</v>
      </c>
    </row>
    <row r="1326" spans="2:6" x14ac:dyDescent="0.2">
      <c r="B1326" s="101" t="s">
        <v>2430</v>
      </c>
      <c r="C1326" s="30">
        <v>35</v>
      </c>
      <c r="D1326" s="101">
        <v>350</v>
      </c>
      <c r="E1326" s="183"/>
      <c r="F1326" s="99">
        <v>6.07</v>
      </c>
    </row>
    <row r="1327" spans="2:6" x14ac:dyDescent="0.2">
      <c r="B1327" s="101" t="s">
        <v>2430</v>
      </c>
      <c r="C1327" s="30">
        <v>35</v>
      </c>
      <c r="D1327" s="101">
        <v>350</v>
      </c>
      <c r="E1327" s="183"/>
      <c r="F1327" s="99">
        <v>5.55</v>
      </c>
    </row>
    <row r="1328" spans="2:6" x14ac:dyDescent="0.2">
      <c r="B1328" s="30" t="s">
        <v>2430</v>
      </c>
      <c r="C1328" s="30">
        <v>45</v>
      </c>
      <c r="D1328" s="30">
        <v>190</v>
      </c>
      <c r="E1328" s="101"/>
      <c r="F1328" s="99">
        <f>1.28-0.326-0.374-0.072-0.02-0.09-0.046</f>
        <v>0.35200000000000004</v>
      </c>
    </row>
    <row r="1329" spans="2:6" x14ac:dyDescent="0.2">
      <c r="B1329" s="30" t="s">
        <v>2430</v>
      </c>
      <c r="C1329" s="30">
        <v>45</v>
      </c>
      <c r="D1329" s="30">
        <v>210</v>
      </c>
      <c r="E1329" s="101"/>
      <c r="F1329" s="34">
        <f>1.305-0.16-1.13-(0.015)+(0.574)</f>
        <v>0.57400000000000007</v>
      </c>
    </row>
    <row r="1330" spans="2:6" x14ac:dyDescent="0.2">
      <c r="B1330" s="30" t="s">
        <v>2430</v>
      </c>
      <c r="C1330" s="30">
        <v>45</v>
      </c>
      <c r="D1330" s="30" t="s">
        <v>2691</v>
      </c>
      <c r="E1330" s="101"/>
      <c r="F1330" s="34">
        <f>1.24-0.53-0.01</f>
        <v>0.7</v>
      </c>
    </row>
    <row r="1331" spans="2:6" x14ac:dyDescent="0.2">
      <c r="B1331" s="30" t="s">
        <v>2430</v>
      </c>
      <c r="C1331" s="30">
        <v>45</v>
      </c>
      <c r="D1331" s="30" t="s">
        <v>2692</v>
      </c>
      <c r="E1331" s="101"/>
      <c r="F1331" s="99">
        <f>(1.245)-0.062-0.056-0.52</f>
        <v>0.60699999999999998</v>
      </c>
    </row>
    <row r="1332" spans="2:6" x14ac:dyDescent="0.2">
      <c r="B1332" s="30" t="s">
        <v>2430</v>
      </c>
      <c r="C1332" s="30">
        <v>45</v>
      </c>
      <c r="D1332" s="30" t="s">
        <v>2693</v>
      </c>
      <c r="E1332" s="101"/>
      <c r="F1332" s="34">
        <f>1.17-0.026-0.074</f>
        <v>1.0699999999999998</v>
      </c>
    </row>
    <row r="1333" spans="2:6" x14ac:dyDescent="0.2">
      <c r="B1333" s="30" t="s">
        <v>2430</v>
      </c>
      <c r="C1333" s="30">
        <v>45</v>
      </c>
      <c r="D1333" s="30">
        <v>260</v>
      </c>
      <c r="E1333" s="101"/>
      <c r="F1333" s="34">
        <f>0.61+0.8-0.092-0.028-0.806</f>
        <v>0.48399999999999999</v>
      </c>
    </row>
    <row r="1334" spans="2:6" x14ac:dyDescent="0.2">
      <c r="B1334" s="30" t="s">
        <v>2430</v>
      </c>
      <c r="C1334" s="30">
        <v>45</v>
      </c>
      <c r="D1334" s="30">
        <v>260</v>
      </c>
      <c r="E1334" s="101"/>
      <c r="F1334" s="34">
        <f>2.19-0.532+(0.512)-0.148-0.146-0.522-0.532-0.052+1.296-0.066-0.446-0.77-0.162-0.09-0.044</f>
        <v>0.48799999999999982</v>
      </c>
    </row>
    <row r="1335" spans="2:6" x14ac:dyDescent="0.2">
      <c r="B1335" s="30" t="s">
        <v>2430</v>
      </c>
      <c r="C1335" s="30">
        <v>45</v>
      </c>
      <c r="D1335" s="30">
        <v>260</v>
      </c>
      <c r="E1335" s="101"/>
      <c r="F1335" s="34">
        <f>0.856-0.202-0.074-0.28-0.065</f>
        <v>0.23499999999999993</v>
      </c>
    </row>
    <row r="1336" spans="2:6" x14ac:dyDescent="0.2">
      <c r="B1336" s="30" t="s">
        <v>2430</v>
      </c>
      <c r="C1336" s="30">
        <v>45</v>
      </c>
      <c r="D1336" s="30" t="s">
        <v>2694</v>
      </c>
      <c r="E1336" s="101"/>
      <c r="F1336" s="34">
        <f>0.9-0.065</f>
        <v>0.83499999999999996</v>
      </c>
    </row>
    <row r="1337" spans="2:6" x14ac:dyDescent="0.2">
      <c r="B1337" s="30" t="s">
        <v>2430</v>
      </c>
      <c r="C1337" s="30">
        <v>45</v>
      </c>
      <c r="D1337" s="30">
        <v>270</v>
      </c>
      <c r="E1337" s="101"/>
      <c r="F1337" s="34">
        <f>1.925-0.28-0.08-0.104-0.218</f>
        <v>1.2429999999999999</v>
      </c>
    </row>
    <row r="1338" spans="2:6" x14ac:dyDescent="0.2">
      <c r="B1338" s="30" t="s">
        <v>2430</v>
      </c>
      <c r="C1338" s="30">
        <v>45</v>
      </c>
      <c r="D1338" s="30">
        <v>270</v>
      </c>
      <c r="E1338" s="101"/>
      <c r="F1338" s="34">
        <v>0.86499999999999999</v>
      </c>
    </row>
    <row r="1339" spans="2:6" x14ac:dyDescent="0.2">
      <c r="B1339" s="30" t="s">
        <v>2430</v>
      </c>
      <c r="C1339" s="30">
        <v>45</v>
      </c>
      <c r="D1339" s="30">
        <v>270</v>
      </c>
      <c r="E1339" s="101"/>
      <c r="F1339" s="34">
        <f>1.05-0.292-0.024+1.056-0.354-0.018-0.06</f>
        <v>1.3579999999999999</v>
      </c>
    </row>
    <row r="1340" spans="2:6" x14ac:dyDescent="0.2">
      <c r="B1340" s="30" t="s">
        <v>2430</v>
      </c>
      <c r="C1340" s="30">
        <v>45</v>
      </c>
      <c r="D1340" s="30">
        <v>280</v>
      </c>
      <c r="E1340" s="101"/>
      <c r="F1340" s="34">
        <v>0.37</v>
      </c>
    </row>
    <row r="1341" spans="2:6" x14ac:dyDescent="0.2">
      <c r="B1341" s="30" t="s">
        <v>2430</v>
      </c>
      <c r="C1341" s="30">
        <v>45</v>
      </c>
      <c r="D1341" s="30">
        <v>280</v>
      </c>
      <c r="E1341" s="101"/>
      <c r="F1341" s="99">
        <f>0.42-0.038</f>
        <v>0.38200000000000001</v>
      </c>
    </row>
    <row r="1342" spans="2:6" x14ac:dyDescent="0.2">
      <c r="B1342" s="30" t="s">
        <v>2430</v>
      </c>
      <c r="C1342" s="30">
        <v>45</v>
      </c>
      <c r="D1342" s="30">
        <v>290</v>
      </c>
      <c r="E1342" s="101"/>
      <c r="F1342" s="99">
        <f>0.64-0.264</f>
        <v>0.376</v>
      </c>
    </row>
    <row r="1343" spans="2:6" x14ac:dyDescent="0.2">
      <c r="B1343" s="30" t="s">
        <v>2430</v>
      </c>
      <c r="C1343" s="30">
        <v>45</v>
      </c>
      <c r="D1343" s="30">
        <v>290</v>
      </c>
      <c r="E1343" s="101"/>
      <c r="F1343" s="99">
        <f>0.53</f>
        <v>0.53</v>
      </c>
    </row>
    <row r="1344" spans="2:6" x14ac:dyDescent="0.2">
      <c r="B1344" s="30" t="s">
        <v>2430</v>
      </c>
      <c r="C1344" s="30">
        <v>45</v>
      </c>
      <c r="D1344" s="30">
        <v>290</v>
      </c>
      <c r="E1344" s="101"/>
      <c r="F1344" s="99">
        <f>0.48-0.284</f>
        <v>0.19600000000000001</v>
      </c>
    </row>
    <row r="1345" spans="2:6" x14ac:dyDescent="0.2">
      <c r="B1345" s="30" t="s">
        <v>2430</v>
      </c>
      <c r="C1345" s="30">
        <v>45</v>
      </c>
      <c r="D1345" s="30">
        <v>290</v>
      </c>
      <c r="E1345" s="101"/>
      <c r="F1345" s="99">
        <f>0.98-0.092</f>
        <v>0.88800000000000001</v>
      </c>
    </row>
    <row r="1346" spans="2:6" x14ac:dyDescent="0.2">
      <c r="B1346" s="30" t="s">
        <v>2430</v>
      </c>
      <c r="C1346" s="30">
        <v>45</v>
      </c>
      <c r="D1346" s="30">
        <v>300</v>
      </c>
      <c r="E1346" s="101"/>
      <c r="F1346" s="99">
        <f>0.57+0.582+1.2-0.102-0.582</f>
        <v>1.6680000000000001</v>
      </c>
    </row>
    <row r="1347" spans="2:6" x14ac:dyDescent="0.2">
      <c r="B1347" s="30" t="s">
        <v>2430</v>
      </c>
      <c r="C1347" s="30">
        <v>45</v>
      </c>
      <c r="D1347" s="30">
        <v>300</v>
      </c>
      <c r="E1347" s="101"/>
      <c r="F1347" s="99">
        <f>1.35-0.562-0.212</f>
        <v>0.57600000000000007</v>
      </c>
    </row>
    <row r="1348" spans="2:6" x14ac:dyDescent="0.2">
      <c r="B1348" s="30" t="s">
        <v>2430</v>
      </c>
      <c r="C1348" s="30">
        <v>45</v>
      </c>
      <c r="D1348" s="30" t="s">
        <v>2475</v>
      </c>
      <c r="E1348" s="101"/>
      <c r="F1348" s="99">
        <f>0.456-0.102-0.104</f>
        <v>0.25000000000000006</v>
      </c>
    </row>
    <row r="1349" spans="2:6" x14ac:dyDescent="0.2">
      <c r="B1349" s="30" t="s">
        <v>2430</v>
      </c>
      <c r="C1349" s="30">
        <v>45</v>
      </c>
      <c r="D1349" s="30">
        <v>300</v>
      </c>
      <c r="E1349" s="101"/>
      <c r="F1349" s="34">
        <v>0.46</v>
      </c>
    </row>
    <row r="1350" spans="2:6" x14ac:dyDescent="0.2">
      <c r="B1350" s="30" t="s">
        <v>2430</v>
      </c>
      <c r="C1350" s="30">
        <v>45</v>
      </c>
      <c r="D1350" s="30">
        <v>310</v>
      </c>
      <c r="E1350" s="101"/>
      <c r="F1350" s="34">
        <v>0.27</v>
      </c>
    </row>
    <row r="1351" spans="2:6" x14ac:dyDescent="0.2">
      <c r="B1351" s="30" t="s">
        <v>2430</v>
      </c>
      <c r="C1351" s="30">
        <v>45</v>
      </c>
      <c r="D1351" s="30">
        <v>320</v>
      </c>
      <c r="E1351" s="101"/>
      <c r="F1351" s="34">
        <v>0.54</v>
      </c>
    </row>
    <row r="1352" spans="2:6" x14ac:dyDescent="0.2">
      <c r="B1352" s="30" t="s">
        <v>2430</v>
      </c>
      <c r="C1352" s="30">
        <v>45</v>
      </c>
      <c r="D1352" s="30">
        <v>320</v>
      </c>
      <c r="E1352" s="101"/>
      <c r="F1352" s="34">
        <v>0.68</v>
      </c>
    </row>
    <row r="1353" spans="2:6" x14ac:dyDescent="0.2">
      <c r="B1353" s="30" t="s">
        <v>2430</v>
      </c>
      <c r="C1353" s="30">
        <v>45</v>
      </c>
      <c r="D1353" s="30">
        <v>320</v>
      </c>
      <c r="E1353" s="101"/>
      <c r="F1353" s="34">
        <f>0.498+0.534</f>
        <v>1.032</v>
      </c>
    </row>
    <row r="1354" spans="2:6" x14ac:dyDescent="0.2">
      <c r="B1354" s="30" t="s">
        <v>2430</v>
      </c>
      <c r="C1354" s="30">
        <v>45</v>
      </c>
      <c r="D1354" s="30">
        <v>320</v>
      </c>
      <c r="E1354" s="101"/>
      <c r="F1354" s="34">
        <v>0.49</v>
      </c>
    </row>
    <row r="1355" spans="2:6" x14ac:dyDescent="0.2">
      <c r="B1355" s="30" t="s">
        <v>2430</v>
      </c>
      <c r="C1355" s="30">
        <v>45</v>
      </c>
      <c r="D1355" s="30">
        <v>380</v>
      </c>
      <c r="E1355" s="101"/>
      <c r="F1355" s="34">
        <f>0.65-0.36+(0.36)-0.048-0.056</f>
        <v>0.54599999999999993</v>
      </c>
    </row>
    <row r="1356" spans="2:6" x14ac:dyDescent="0.2">
      <c r="B1356" s="30" t="s">
        <v>2430</v>
      </c>
      <c r="C1356" s="30">
        <v>45</v>
      </c>
      <c r="D1356" s="30">
        <v>400</v>
      </c>
      <c r="E1356" s="101"/>
      <c r="F1356" s="99">
        <v>1.44</v>
      </c>
    </row>
    <row r="1357" spans="2:6" x14ac:dyDescent="0.2">
      <c r="B1357" s="30" t="s">
        <v>2430</v>
      </c>
      <c r="C1357" s="30">
        <v>45</v>
      </c>
      <c r="D1357" s="30">
        <v>480</v>
      </c>
      <c r="E1357" s="101"/>
      <c r="F1357" s="99">
        <v>0.56000000000000005</v>
      </c>
    </row>
    <row r="1358" spans="2:6" x14ac:dyDescent="0.2">
      <c r="B1358" s="30" t="s">
        <v>2430</v>
      </c>
      <c r="C1358" s="30">
        <v>45</v>
      </c>
      <c r="D1358" s="30">
        <v>590</v>
      </c>
      <c r="E1358" s="101"/>
      <c r="F1358" s="99">
        <f>1.146+4.1-2.442-0.142-1.418</f>
        <v>1.2439999999999996</v>
      </c>
    </row>
    <row r="1359" spans="2:6" x14ac:dyDescent="0.2">
      <c r="B1359" s="30" t="s">
        <v>2430</v>
      </c>
      <c r="C1359" s="30">
        <v>45</v>
      </c>
      <c r="D1359" s="30">
        <v>680</v>
      </c>
      <c r="E1359" s="101"/>
      <c r="F1359" s="99">
        <f>0.86-0.545</f>
        <v>0.31499999999999995</v>
      </c>
    </row>
    <row r="1360" spans="2:6" x14ac:dyDescent="0.2">
      <c r="B1360" s="30" t="s">
        <v>2430</v>
      </c>
      <c r="C1360" s="30">
        <v>45</v>
      </c>
      <c r="D1360" s="30" t="s">
        <v>423</v>
      </c>
      <c r="E1360" s="101"/>
      <c r="F1360" s="99">
        <f>1.17-0.61</f>
        <v>0.55999999999999994</v>
      </c>
    </row>
    <row r="1361" spans="2:6" x14ac:dyDescent="0.2">
      <c r="B1361" s="30" t="s">
        <v>2430</v>
      </c>
      <c r="C1361" s="30">
        <v>45</v>
      </c>
      <c r="D1361" s="30">
        <v>820</v>
      </c>
      <c r="E1361" s="101"/>
      <c r="F1361" s="99">
        <v>0.998</v>
      </c>
    </row>
    <row r="1362" spans="2:6" x14ac:dyDescent="0.2">
      <c r="B1362" s="101" t="s">
        <v>2430</v>
      </c>
      <c r="C1362" s="30">
        <v>45</v>
      </c>
      <c r="D1362" s="101">
        <v>140</v>
      </c>
      <c r="E1362" s="25"/>
      <c r="F1362" s="99">
        <v>0.33</v>
      </c>
    </row>
    <row r="1363" spans="2:6" x14ac:dyDescent="0.2">
      <c r="B1363" s="101" t="s">
        <v>2430</v>
      </c>
      <c r="C1363" s="30">
        <v>45</v>
      </c>
      <c r="D1363" s="101">
        <v>250</v>
      </c>
      <c r="E1363" s="183"/>
      <c r="F1363" s="99">
        <v>0.34499999999999997</v>
      </c>
    </row>
    <row r="1364" spans="2:6" x14ac:dyDescent="0.2">
      <c r="B1364" s="101" t="s">
        <v>2430</v>
      </c>
      <c r="C1364" s="30">
        <v>45</v>
      </c>
      <c r="D1364" s="101">
        <v>260</v>
      </c>
      <c r="E1364" s="183"/>
      <c r="F1364" s="99">
        <f>3.28-0.27-0.59-0.81</f>
        <v>1.6099999999999999</v>
      </c>
    </row>
    <row r="1365" spans="2:6" x14ac:dyDescent="0.2">
      <c r="B1365" s="101" t="s">
        <v>2430</v>
      </c>
      <c r="C1365" s="30">
        <v>45</v>
      </c>
      <c r="D1365" s="101">
        <v>270</v>
      </c>
      <c r="E1365" s="183"/>
      <c r="F1365" s="99">
        <v>0.34</v>
      </c>
    </row>
    <row r="1366" spans="2:6" x14ac:dyDescent="0.2">
      <c r="B1366" s="101" t="s">
        <v>2430</v>
      </c>
      <c r="C1366" s="30">
        <v>45</v>
      </c>
      <c r="D1366" s="101">
        <v>270</v>
      </c>
      <c r="E1366" s="183"/>
      <c r="F1366" s="99">
        <v>0.04</v>
      </c>
    </row>
    <row r="1367" spans="2:6" x14ac:dyDescent="0.2">
      <c r="B1367" s="101" t="s">
        <v>2430</v>
      </c>
      <c r="C1367" s="30">
        <v>45</v>
      </c>
      <c r="D1367" s="101" t="s">
        <v>2467</v>
      </c>
      <c r="E1367" s="183"/>
      <c r="F1367" s="99"/>
    </row>
    <row r="1368" spans="2:6" x14ac:dyDescent="0.2">
      <c r="B1368" s="101" t="s">
        <v>2430</v>
      </c>
      <c r="C1368" s="30">
        <v>45</v>
      </c>
      <c r="D1368" s="101" t="s">
        <v>1682</v>
      </c>
      <c r="E1368" s="183"/>
      <c r="F1368" s="99">
        <v>0.13</v>
      </c>
    </row>
    <row r="1369" spans="2:6" x14ac:dyDescent="0.2">
      <c r="B1369" s="101" t="s">
        <v>2430</v>
      </c>
      <c r="C1369" s="30">
        <v>45</v>
      </c>
      <c r="D1369" s="101">
        <v>290</v>
      </c>
      <c r="E1369" s="183"/>
      <c r="F1369" s="99">
        <v>0.68</v>
      </c>
    </row>
    <row r="1370" spans="2:6" x14ac:dyDescent="0.2">
      <c r="B1370" s="101" t="s">
        <v>2430</v>
      </c>
      <c r="C1370" s="30">
        <v>45</v>
      </c>
      <c r="D1370" s="101">
        <v>290</v>
      </c>
      <c r="E1370" s="183"/>
      <c r="F1370" s="99">
        <v>0.11</v>
      </c>
    </row>
    <row r="1371" spans="2:6" x14ac:dyDescent="0.2">
      <c r="B1371" s="101" t="s">
        <v>2430</v>
      </c>
      <c r="C1371" s="30">
        <v>45</v>
      </c>
      <c r="D1371" s="101">
        <v>290</v>
      </c>
      <c r="E1371" s="25"/>
      <c r="F1371" s="99">
        <v>0.06</v>
      </c>
    </row>
    <row r="1372" spans="2:6" x14ac:dyDescent="0.2">
      <c r="B1372" s="101" t="s">
        <v>2430</v>
      </c>
      <c r="C1372" s="30">
        <v>45</v>
      </c>
      <c r="D1372" s="101">
        <v>300</v>
      </c>
      <c r="E1372" s="183"/>
      <c r="F1372" s="99">
        <v>2.41</v>
      </c>
    </row>
    <row r="1373" spans="2:6" x14ac:dyDescent="0.2">
      <c r="B1373" s="101" t="s">
        <v>2430</v>
      </c>
      <c r="C1373" s="30">
        <v>45</v>
      </c>
      <c r="D1373" s="101">
        <v>300</v>
      </c>
      <c r="E1373" s="183"/>
      <c r="F1373" s="99">
        <v>1.2</v>
      </c>
    </row>
    <row r="1374" spans="2:6" x14ac:dyDescent="0.2">
      <c r="B1374" s="101" t="s">
        <v>2430</v>
      </c>
      <c r="C1374" s="30">
        <v>45</v>
      </c>
      <c r="D1374" s="101">
        <v>300</v>
      </c>
      <c r="E1374" s="183"/>
      <c r="F1374" s="99">
        <f>2.4-1.18-0.12</f>
        <v>1.1000000000000001</v>
      </c>
    </row>
    <row r="1375" spans="2:6" x14ac:dyDescent="0.2">
      <c r="B1375" s="101" t="s">
        <v>2430</v>
      </c>
      <c r="C1375" s="30">
        <v>45</v>
      </c>
      <c r="D1375" s="101">
        <v>300</v>
      </c>
      <c r="E1375" s="183"/>
      <c r="F1375" s="99">
        <v>0.1</v>
      </c>
    </row>
    <row r="1376" spans="2:6" x14ac:dyDescent="0.2">
      <c r="B1376" s="101" t="s">
        <v>2430</v>
      </c>
      <c r="C1376" s="30">
        <v>45</v>
      </c>
      <c r="D1376" s="101">
        <v>300</v>
      </c>
      <c r="E1376" s="183"/>
      <c r="F1376" s="99">
        <v>0.3</v>
      </c>
    </row>
    <row r="1377" spans="2:6" x14ac:dyDescent="0.2">
      <c r="B1377" s="101" t="s">
        <v>2430</v>
      </c>
      <c r="C1377" s="30">
        <v>45</v>
      </c>
      <c r="D1377" s="101">
        <v>300</v>
      </c>
      <c r="E1377" s="183"/>
      <c r="F1377" s="99">
        <v>0.12</v>
      </c>
    </row>
    <row r="1378" spans="2:6" x14ac:dyDescent="0.2">
      <c r="B1378" s="101" t="s">
        <v>2430</v>
      </c>
      <c r="C1378" s="30">
        <v>45</v>
      </c>
      <c r="D1378" s="101">
        <v>300</v>
      </c>
      <c r="E1378" s="183"/>
      <c r="F1378" s="99">
        <v>7.0000000000000007E-2</v>
      </c>
    </row>
    <row r="1379" spans="2:6" x14ac:dyDescent="0.2">
      <c r="B1379" s="101" t="s">
        <v>2430</v>
      </c>
      <c r="C1379" s="30">
        <v>45</v>
      </c>
      <c r="D1379" s="101">
        <v>300</v>
      </c>
      <c r="E1379" s="183"/>
      <c r="F1379" s="99">
        <v>0.05</v>
      </c>
    </row>
    <row r="1380" spans="2:6" x14ac:dyDescent="0.2">
      <c r="B1380" s="101" t="s">
        <v>2430</v>
      </c>
      <c r="C1380" s="30">
        <v>45</v>
      </c>
      <c r="D1380" s="101">
        <v>310</v>
      </c>
      <c r="E1380" s="183"/>
      <c r="F1380" s="99">
        <v>1.76</v>
      </c>
    </row>
    <row r="1381" spans="2:6" x14ac:dyDescent="0.2">
      <c r="B1381" s="101" t="s">
        <v>2430</v>
      </c>
      <c r="C1381" s="30">
        <v>45</v>
      </c>
      <c r="D1381" s="101">
        <v>310</v>
      </c>
      <c r="E1381" s="183"/>
      <c r="F1381" s="99">
        <f>0.27+0.48</f>
        <v>0.75</v>
      </c>
    </row>
    <row r="1382" spans="2:6" x14ac:dyDescent="0.2">
      <c r="B1382" s="101" t="s">
        <v>2430</v>
      </c>
      <c r="C1382" s="30">
        <v>45</v>
      </c>
      <c r="D1382" s="101">
        <v>310</v>
      </c>
      <c r="E1382" s="183"/>
      <c r="F1382" s="99">
        <v>0.08</v>
      </c>
    </row>
    <row r="1383" spans="2:6" x14ac:dyDescent="0.2">
      <c r="B1383" s="101" t="s">
        <v>2430</v>
      </c>
      <c r="C1383" s="30">
        <v>45</v>
      </c>
      <c r="D1383" s="101">
        <v>310</v>
      </c>
      <c r="E1383" s="183"/>
      <c r="F1383" s="99">
        <v>0.31</v>
      </c>
    </row>
    <row r="1384" spans="2:6" x14ac:dyDescent="0.2">
      <c r="B1384" s="101" t="s">
        <v>2430</v>
      </c>
      <c r="C1384" s="30">
        <v>45</v>
      </c>
      <c r="D1384" s="101">
        <v>320</v>
      </c>
      <c r="E1384" s="183"/>
      <c r="F1384" s="99">
        <f>3.04+3.01</f>
        <v>6.05</v>
      </c>
    </row>
    <row r="1385" spans="2:6" x14ac:dyDescent="0.2">
      <c r="B1385" s="101" t="s">
        <v>2430</v>
      </c>
      <c r="C1385" s="30">
        <v>45</v>
      </c>
      <c r="D1385" s="101">
        <v>320</v>
      </c>
      <c r="E1385" s="183"/>
      <c r="F1385" s="99">
        <v>2.96</v>
      </c>
    </row>
    <row r="1386" spans="2:6" x14ac:dyDescent="0.2">
      <c r="B1386" s="101" t="s">
        <v>2430</v>
      </c>
      <c r="C1386" s="30">
        <v>45</v>
      </c>
      <c r="D1386" s="101">
        <v>320</v>
      </c>
      <c r="E1386" s="183"/>
      <c r="F1386" s="99">
        <v>2.97</v>
      </c>
    </row>
    <row r="1387" spans="2:6" x14ac:dyDescent="0.2">
      <c r="B1387" s="101" t="s">
        <v>2430</v>
      </c>
      <c r="C1387" s="30">
        <v>45</v>
      </c>
      <c r="D1387" s="101">
        <v>320</v>
      </c>
      <c r="E1387" s="183"/>
      <c r="F1387" s="99">
        <v>1.27</v>
      </c>
    </row>
    <row r="1388" spans="2:6" x14ac:dyDescent="0.2">
      <c r="B1388" s="101" t="s">
        <v>2430</v>
      </c>
      <c r="C1388" s="30">
        <v>45</v>
      </c>
      <c r="D1388" s="101">
        <v>320</v>
      </c>
      <c r="E1388" s="183"/>
      <c r="F1388" s="99">
        <v>0.31</v>
      </c>
    </row>
    <row r="1389" spans="2:6" x14ac:dyDescent="0.2">
      <c r="B1389" s="101" t="s">
        <v>2430</v>
      </c>
      <c r="C1389" s="30">
        <v>45</v>
      </c>
      <c r="D1389" s="101">
        <v>330</v>
      </c>
      <c r="E1389" s="183"/>
      <c r="F1389" s="99">
        <v>2.5499999999999998</v>
      </c>
    </row>
    <row r="1390" spans="2:6" x14ac:dyDescent="0.2">
      <c r="B1390" s="101" t="s">
        <v>2430</v>
      </c>
      <c r="C1390" s="30">
        <v>45</v>
      </c>
      <c r="D1390" s="101">
        <v>330</v>
      </c>
      <c r="E1390" s="25"/>
      <c r="F1390" s="99">
        <f>0.44+0.49</f>
        <v>0.92999999999999994</v>
      </c>
    </row>
    <row r="1391" spans="2:6" x14ac:dyDescent="0.2">
      <c r="B1391" s="101" t="s">
        <v>2430</v>
      </c>
      <c r="C1391" s="30">
        <v>45</v>
      </c>
      <c r="D1391" s="101">
        <v>330</v>
      </c>
      <c r="E1391" s="183"/>
      <c r="F1391" s="99">
        <f>0.12+0.21+0.12+0.15</f>
        <v>0.6</v>
      </c>
    </row>
    <row r="1392" spans="2:6" x14ac:dyDescent="0.2">
      <c r="B1392" s="101" t="s">
        <v>2430</v>
      </c>
      <c r="C1392" s="30">
        <v>45</v>
      </c>
      <c r="D1392" s="101" t="s">
        <v>2491</v>
      </c>
      <c r="E1392" s="183"/>
      <c r="F1392" s="99">
        <v>1.45</v>
      </c>
    </row>
    <row r="1393" spans="2:6" x14ac:dyDescent="0.2">
      <c r="B1393" s="101" t="s">
        <v>2430</v>
      </c>
      <c r="C1393" s="30">
        <v>45</v>
      </c>
      <c r="D1393" s="101" t="s">
        <v>2492</v>
      </c>
      <c r="E1393" s="183"/>
      <c r="F1393" s="99">
        <v>1.5</v>
      </c>
    </row>
    <row r="1394" spans="2:6" x14ac:dyDescent="0.2">
      <c r="B1394" s="101" t="s">
        <v>2430</v>
      </c>
      <c r="C1394" s="30">
        <v>45</v>
      </c>
      <c r="D1394" s="101" t="s">
        <v>2492</v>
      </c>
      <c r="E1394" s="183"/>
      <c r="F1394" s="99">
        <v>1.105</v>
      </c>
    </row>
    <row r="1395" spans="2:6" x14ac:dyDescent="0.2">
      <c r="B1395" s="101" t="s">
        <v>2430</v>
      </c>
      <c r="C1395" s="30">
        <v>45</v>
      </c>
      <c r="D1395" s="101" t="s">
        <v>2494</v>
      </c>
      <c r="E1395" s="183"/>
      <c r="F1395" s="99">
        <v>0.76</v>
      </c>
    </row>
    <row r="1396" spans="2:6" x14ac:dyDescent="0.2">
      <c r="B1396" s="101" t="s">
        <v>2430</v>
      </c>
      <c r="C1396" s="30">
        <v>45</v>
      </c>
      <c r="D1396" s="101">
        <v>340</v>
      </c>
      <c r="E1396" s="183"/>
      <c r="F1396" s="99">
        <f>4.62+4.54</f>
        <v>9.16</v>
      </c>
    </row>
    <row r="1397" spans="2:6" x14ac:dyDescent="0.2">
      <c r="B1397" s="101" t="s">
        <v>2430</v>
      </c>
      <c r="C1397" s="30">
        <v>45</v>
      </c>
      <c r="D1397" s="101">
        <v>340</v>
      </c>
      <c r="E1397" s="183"/>
      <c r="F1397" s="99">
        <v>1.69</v>
      </c>
    </row>
    <row r="1398" spans="2:6" x14ac:dyDescent="0.2">
      <c r="B1398" s="101" t="s">
        <v>2430</v>
      </c>
      <c r="C1398" s="30">
        <v>45</v>
      </c>
      <c r="D1398" s="101">
        <v>340</v>
      </c>
      <c r="E1398" s="183"/>
      <c r="F1398" s="99">
        <f>1.39+1.29</f>
        <v>2.6799999999999997</v>
      </c>
    </row>
    <row r="1399" spans="2:6" x14ac:dyDescent="0.2">
      <c r="B1399" s="101" t="s">
        <v>2430</v>
      </c>
      <c r="C1399" s="30">
        <v>45</v>
      </c>
      <c r="D1399" s="101">
        <v>340</v>
      </c>
      <c r="E1399" s="183"/>
      <c r="F1399" s="99">
        <v>0.85</v>
      </c>
    </row>
    <row r="1400" spans="2:6" x14ac:dyDescent="0.2">
      <c r="B1400" s="101" t="s">
        <v>2430</v>
      </c>
      <c r="C1400" s="30">
        <v>45</v>
      </c>
      <c r="D1400" s="101">
        <v>340</v>
      </c>
      <c r="E1400" s="183"/>
      <c r="F1400" s="99">
        <f>0.59+0.065</f>
        <v>0.65500000000000003</v>
      </c>
    </row>
    <row r="1401" spans="2:6" x14ac:dyDescent="0.2">
      <c r="B1401" s="101" t="s">
        <v>2430</v>
      </c>
      <c r="C1401" s="30">
        <v>45</v>
      </c>
      <c r="D1401" s="101">
        <v>340</v>
      </c>
      <c r="E1401" s="183"/>
      <c r="F1401" s="99">
        <v>0.215</v>
      </c>
    </row>
    <row r="1402" spans="2:6" x14ac:dyDescent="0.2">
      <c r="B1402" s="101" t="s">
        <v>2430</v>
      </c>
      <c r="C1402" s="30">
        <v>45</v>
      </c>
      <c r="D1402" s="101">
        <v>340</v>
      </c>
      <c r="E1402" s="183"/>
      <c r="F1402" s="99"/>
    </row>
    <row r="1403" spans="2:6" x14ac:dyDescent="0.2">
      <c r="B1403" s="101" t="s">
        <v>2430</v>
      </c>
      <c r="C1403" s="30">
        <v>45</v>
      </c>
      <c r="D1403" s="101">
        <v>340</v>
      </c>
      <c r="E1403" s="183"/>
      <c r="F1403" s="99">
        <v>0.03</v>
      </c>
    </row>
    <row r="1404" spans="2:6" x14ac:dyDescent="0.2">
      <c r="B1404" s="101" t="s">
        <v>2430</v>
      </c>
      <c r="C1404" s="30">
        <v>45</v>
      </c>
      <c r="D1404" s="101">
        <v>350</v>
      </c>
      <c r="E1404" s="183"/>
      <c r="F1404" s="99">
        <v>3.1</v>
      </c>
    </row>
    <row r="1405" spans="2:6" x14ac:dyDescent="0.2">
      <c r="B1405" s="101" t="s">
        <v>2430</v>
      </c>
      <c r="C1405" s="30">
        <v>45</v>
      </c>
      <c r="D1405" s="101">
        <v>350</v>
      </c>
      <c r="E1405" s="183"/>
      <c r="F1405" s="99">
        <f>0.55+2.66</f>
        <v>3.21</v>
      </c>
    </row>
    <row r="1406" spans="2:6" x14ac:dyDescent="0.2">
      <c r="B1406" s="101" t="s">
        <v>2430</v>
      </c>
      <c r="C1406" s="30">
        <v>45</v>
      </c>
      <c r="D1406" s="101">
        <v>350</v>
      </c>
      <c r="E1406" s="183"/>
      <c r="F1406" s="99">
        <v>2.4500000000000002</v>
      </c>
    </row>
    <row r="1407" spans="2:6" x14ac:dyDescent="0.2">
      <c r="B1407" s="101" t="s">
        <v>2430</v>
      </c>
      <c r="C1407" s="30">
        <v>45</v>
      </c>
      <c r="D1407" s="101">
        <v>350</v>
      </c>
      <c r="E1407" s="183"/>
      <c r="F1407" s="99">
        <v>1.67</v>
      </c>
    </row>
    <row r="1408" spans="2:6" x14ac:dyDescent="0.2">
      <c r="B1408" s="101" t="s">
        <v>2430</v>
      </c>
      <c r="C1408" s="30">
        <v>45</v>
      </c>
      <c r="D1408" s="101">
        <v>350</v>
      </c>
      <c r="E1408" s="183"/>
      <c r="F1408" s="99">
        <f>7.03-1.7</f>
        <v>5.33</v>
      </c>
    </row>
    <row r="1409" spans="2:6" x14ac:dyDescent="0.2">
      <c r="B1409" s="101" t="s">
        <v>2430</v>
      </c>
      <c r="C1409" s="30">
        <v>45</v>
      </c>
      <c r="D1409" s="101">
        <v>350</v>
      </c>
      <c r="E1409" s="183"/>
      <c r="F1409" s="99">
        <v>0.7</v>
      </c>
    </row>
    <row r="1410" spans="2:6" x14ac:dyDescent="0.2">
      <c r="B1410" s="101" t="s">
        <v>2430</v>
      </c>
      <c r="C1410" s="30">
        <v>45</v>
      </c>
      <c r="D1410" s="101">
        <v>350</v>
      </c>
      <c r="E1410" s="183"/>
      <c r="F1410" s="99">
        <f>0.61+0.71</f>
        <v>1.3199999999999998</v>
      </c>
    </row>
    <row r="1411" spans="2:6" x14ac:dyDescent="0.2">
      <c r="B1411" s="101" t="s">
        <v>2430</v>
      </c>
      <c r="C1411" s="30">
        <v>45</v>
      </c>
      <c r="D1411" s="101">
        <v>350</v>
      </c>
      <c r="E1411" s="183"/>
      <c r="F1411" s="99">
        <v>0.38</v>
      </c>
    </row>
    <row r="1412" spans="2:6" x14ac:dyDescent="0.2">
      <c r="B1412" s="101" t="s">
        <v>2430</v>
      </c>
      <c r="C1412" s="30">
        <v>45</v>
      </c>
      <c r="D1412" s="101">
        <v>350</v>
      </c>
      <c r="E1412" s="183"/>
      <c r="F1412" s="99">
        <v>0.34</v>
      </c>
    </row>
    <row r="1413" spans="2:6" x14ac:dyDescent="0.2">
      <c r="B1413" s="101" t="s">
        <v>2430</v>
      </c>
      <c r="C1413" s="30">
        <v>45</v>
      </c>
      <c r="D1413" s="101" t="s">
        <v>2500</v>
      </c>
      <c r="E1413" s="183"/>
      <c r="F1413" s="99">
        <v>0.13</v>
      </c>
    </row>
    <row r="1414" spans="2:6" x14ac:dyDescent="0.2">
      <c r="B1414" s="101" t="s">
        <v>2430</v>
      </c>
      <c r="C1414" s="30" t="s">
        <v>210</v>
      </c>
      <c r="D1414" s="101">
        <v>300</v>
      </c>
      <c r="E1414" s="183"/>
      <c r="F1414" s="99">
        <v>0.34</v>
      </c>
    </row>
    <row r="1415" spans="2:6" x14ac:dyDescent="0.2">
      <c r="B1415" s="101" t="s">
        <v>2430</v>
      </c>
      <c r="C1415" s="30" t="s">
        <v>210</v>
      </c>
      <c r="D1415" s="101">
        <v>300</v>
      </c>
      <c r="E1415" s="183"/>
      <c r="F1415" s="99">
        <v>1.47</v>
      </c>
    </row>
    <row r="1416" spans="2:6" x14ac:dyDescent="0.2">
      <c r="B1416" s="101" t="s">
        <v>2430</v>
      </c>
      <c r="C1416" s="30" t="s">
        <v>210</v>
      </c>
      <c r="D1416" s="101">
        <v>300</v>
      </c>
      <c r="E1416" s="183"/>
      <c r="F1416" s="99">
        <v>0.12</v>
      </c>
    </row>
    <row r="1417" spans="2:6" x14ac:dyDescent="0.2">
      <c r="B1417" s="101" t="s">
        <v>2430</v>
      </c>
      <c r="C1417" s="165" t="s">
        <v>210</v>
      </c>
      <c r="D1417" s="101">
        <v>300</v>
      </c>
      <c r="E1417" s="185"/>
      <c r="F1417" s="34">
        <v>0.09</v>
      </c>
    </row>
    <row r="1418" spans="2:6" x14ac:dyDescent="0.2">
      <c r="B1418" s="101" t="s">
        <v>2430</v>
      </c>
      <c r="C1418" s="30" t="s">
        <v>210</v>
      </c>
      <c r="D1418" s="101">
        <v>320</v>
      </c>
      <c r="E1418" s="183"/>
      <c r="F1418" s="99">
        <v>4.7</v>
      </c>
    </row>
    <row r="1419" spans="2:6" x14ac:dyDescent="0.2">
      <c r="B1419" s="101" t="s">
        <v>2430</v>
      </c>
      <c r="C1419" s="30" t="s">
        <v>210</v>
      </c>
      <c r="D1419" s="101">
        <v>320</v>
      </c>
      <c r="E1419" s="183"/>
      <c r="F1419" s="99">
        <v>4.3600000000000003</v>
      </c>
    </row>
    <row r="1420" spans="2:6" x14ac:dyDescent="0.2">
      <c r="B1420" s="101" t="s">
        <v>2430</v>
      </c>
      <c r="C1420" s="30" t="s">
        <v>210</v>
      </c>
      <c r="D1420" s="101">
        <v>340</v>
      </c>
      <c r="E1420" s="183"/>
      <c r="F1420" s="99">
        <f>4.41+4.26+319</f>
        <v>327.67</v>
      </c>
    </row>
    <row r="1421" spans="2:6" x14ac:dyDescent="0.2">
      <c r="B1421" s="101" t="s">
        <v>2430</v>
      </c>
      <c r="C1421" s="30" t="s">
        <v>210</v>
      </c>
      <c r="D1421" s="101">
        <v>340</v>
      </c>
      <c r="E1421" s="183"/>
      <c r="F1421" s="99">
        <v>2.29</v>
      </c>
    </row>
    <row r="1422" spans="2:6" x14ac:dyDescent="0.2">
      <c r="B1422" s="101" t="s">
        <v>2430</v>
      </c>
      <c r="C1422" s="30" t="s">
        <v>210</v>
      </c>
      <c r="D1422" s="101">
        <v>340</v>
      </c>
      <c r="E1422" s="183"/>
      <c r="F1422" s="99">
        <f>2.11+0.04</f>
        <v>2.15</v>
      </c>
    </row>
    <row r="1423" spans="2:6" x14ac:dyDescent="0.2">
      <c r="B1423" s="101" t="s">
        <v>2430</v>
      </c>
      <c r="C1423" s="30" t="s">
        <v>210</v>
      </c>
      <c r="D1423" s="101">
        <v>350</v>
      </c>
      <c r="E1423" s="183"/>
      <c r="F1423" s="99">
        <v>4.59</v>
      </c>
    </row>
    <row r="1424" spans="2:6" x14ac:dyDescent="0.2">
      <c r="B1424" s="101" t="s">
        <v>2430</v>
      </c>
      <c r="C1424" s="30" t="s">
        <v>210</v>
      </c>
      <c r="D1424" s="101">
        <v>350</v>
      </c>
      <c r="E1424" s="183"/>
      <c r="F1424" s="99">
        <f>0.33+0.14</f>
        <v>0.47000000000000003</v>
      </c>
    </row>
    <row r="1425" spans="2:6" x14ac:dyDescent="0.2">
      <c r="B1425" s="30" t="s">
        <v>2430</v>
      </c>
      <c r="C1425" s="30" t="s">
        <v>281</v>
      </c>
      <c r="D1425" s="30">
        <v>610</v>
      </c>
      <c r="E1425" s="101"/>
      <c r="F1425" s="34">
        <v>0.316</v>
      </c>
    </row>
    <row r="1426" spans="2:6" x14ac:dyDescent="0.2">
      <c r="B1426" s="30" t="s">
        <v>2430</v>
      </c>
      <c r="C1426" s="30" t="s">
        <v>281</v>
      </c>
      <c r="D1426" s="30">
        <v>660</v>
      </c>
      <c r="E1426" s="101"/>
      <c r="F1426" s="34">
        <v>0.63400000000000001</v>
      </c>
    </row>
    <row r="1427" spans="2:6" x14ac:dyDescent="0.2">
      <c r="B1427" s="30" t="s">
        <v>2430</v>
      </c>
      <c r="C1427" s="30" t="s">
        <v>281</v>
      </c>
      <c r="D1427" s="30">
        <v>780</v>
      </c>
      <c r="E1427" s="101"/>
      <c r="F1427" s="34">
        <v>0.73399999999999999</v>
      </c>
    </row>
    <row r="1428" spans="2:6" x14ac:dyDescent="0.2">
      <c r="B1428" s="101" t="s">
        <v>2430</v>
      </c>
      <c r="C1428" s="30" t="s">
        <v>1636</v>
      </c>
      <c r="D1428" s="101" t="s">
        <v>2449</v>
      </c>
      <c r="E1428" s="25"/>
      <c r="F1428" s="99"/>
    </row>
    <row r="1429" spans="2:6" x14ac:dyDescent="0.2">
      <c r="B1429" s="101" t="s">
        <v>2430</v>
      </c>
      <c r="C1429" s="30" t="s">
        <v>1636</v>
      </c>
      <c r="D1429" s="101" t="s">
        <v>2453</v>
      </c>
      <c r="E1429" s="25"/>
      <c r="F1429" s="99"/>
    </row>
    <row r="1430" spans="2:6" x14ac:dyDescent="0.2">
      <c r="B1430" s="101" t="s">
        <v>2430</v>
      </c>
      <c r="C1430" s="30" t="s">
        <v>314</v>
      </c>
      <c r="D1430" s="101" t="s">
        <v>2448</v>
      </c>
      <c r="E1430" s="25"/>
      <c r="F1430" s="99">
        <f>0.61+0.03</f>
        <v>0.64</v>
      </c>
    </row>
    <row r="1431" spans="2:6" x14ac:dyDescent="0.2">
      <c r="B1431" s="101" t="s">
        <v>2430</v>
      </c>
      <c r="C1431" s="30" t="s">
        <v>314</v>
      </c>
      <c r="D1431" s="101">
        <v>190</v>
      </c>
      <c r="E1431" s="25"/>
      <c r="F1431" s="99">
        <v>0.27</v>
      </c>
    </row>
    <row r="1432" spans="2:6" x14ac:dyDescent="0.2">
      <c r="B1432" s="101" t="s">
        <v>2430</v>
      </c>
      <c r="C1432" s="30" t="s">
        <v>314</v>
      </c>
      <c r="D1432" s="101">
        <v>350</v>
      </c>
      <c r="E1432" s="25"/>
      <c r="F1432" s="99">
        <v>0.82</v>
      </c>
    </row>
    <row r="1433" spans="2:6" x14ac:dyDescent="0.2">
      <c r="B1433" s="101" t="s">
        <v>2430</v>
      </c>
      <c r="C1433" s="30" t="s">
        <v>216</v>
      </c>
      <c r="D1433" s="101">
        <v>240</v>
      </c>
      <c r="E1433" s="25"/>
      <c r="F1433" s="99">
        <v>0.17</v>
      </c>
    </row>
    <row r="1434" spans="2:6" x14ac:dyDescent="0.2">
      <c r="B1434" s="101" t="s">
        <v>2430</v>
      </c>
      <c r="C1434" s="30" t="s">
        <v>315</v>
      </c>
      <c r="D1434" s="101">
        <v>200</v>
      </c>
      <c r="E1434" s="183"/>
      <c r="F1434" s="99">
        <v>0.86</v>
      </c>
    </row>
    <row r="1435" spans="2:6" x14ac:dyDescent="0.2">
      <c r="B1435" s="101" t="s">
        <v>2430</v>
      </c>
      <c r="C1435" s="30" t="s">
        <v>315</v>
      </c>
      <c r="D1435" s="101">
        <v>240</v>
      </c>
      <c r="E1435" s="25"/>
      <c r="F1435" s="99">
        <f>1.03+0.56</f>
        <v>1.59</v>
      </c>
    </row>
    <row r="1436" spans="2:6" x14ac:dyDescent="0.2">
      <c r="B1436" s="101" t="s">
        <v>2430</v>
      </c>
      <c r="C1436" s="30" t="s">
        <v>315</v>
      </c>
      <c r="D1436" s="101">
        <v>290</v>
      </c>
      <c r="E1436" s="183"/>
      <c r="F1436" s="99">
        <v>0.11</v>
      </c>
    </row>
    <row r="1437" spans="2:6" x14ac:dyDescent="0.2">
      <c r="B1437" s="101" t="s">
        <v>2430</v>
      </c>
      <c r="C1437" s="30" t="s">
        <v>315</v>
      </c>
      <c r="D1437" s="101">
        <v>300</v>
      </c>
      <c r="E1437" s="183"/>
      <c r="F1437" s="99">
        <f>2.31+0.45</f>
        <v>2.7600000000000002</v>
      </c>
    </row>
    <row r="1438" spans="2:6" x14ac:dyDescent="0.2">
      <c r="B1438" s="101" t="s">
        <v>2430</v>
      </c>
      <c r="C1438" s="30" t="s">
        <v>315</v>
      </c>
      <c r="D1438" s="101">
        <v>340</v>
      </c>
      <c r="E1438" s="183"/>
      <c r="F1438" s="99">
        <f>0.5+3.13</f>
        <v>3.63</v>
      </c>
    </row>
    <row r="1439" spans="2:6" x14ac:dyDescent="0.2">
      <c r="B1439" s="101" t="s">
        <v>2430</v>
      </c>
      <c r="C1439" s="30" t="s">
        <v>315</v>
      </c>
      <c r="D1439" s="101">
        <v>350</v>
      </c>
      <c r="E1439" s="25"/>
      <c r="F1439" s="99">
        <v>4.53</v>
      </c>
    </row>
    <row r="1440" spans="2:6" x14ac:dyDescent="0.2">
      <c r="B1440" s="101" t="s">
        <v>2430</v>
      </c>
      <c r="C1440" s="30" t="s">
        <v>1749</v>
      </c>
      <c r="D1440" s="101">
        <v>340</v>
      </c>
      <c r="E1440" s="183"/>
      <c r="F1440" s="99">
        <v>0.69</v>
      </c>
    </row>
    <row r="1441" spans="2:6" x14ac:dyDescent="0.2">
      <c r="B1441" s="101" t="s">
        <v>2430</v>
      </c>
      <c r="C1441" s="30" t="s">
        <v>221</v>
      </c>
      <c r="D1441" s="101">
        <v>350</v>
      </c>
      <c r="E1441" s="183"/>
      <c r="F1441" s="99">
        <f>1.99+4.04</f>
        <v>6.03</v>
      </c>
    </row>
    <row r="1442" spans="2:6" x14ac:dyDescent="0.2">
      <c r="B1442" s="101" t="s">
        <v>2430</v>
      </c>
      <c r="C1442" s="30" t="s">
        <v>637</v>
      </c>
      <c r="D1442" s="101">
        <v>230</v>
      </c>
      <c r="E1442" s="25"/>
      <c r="F1442" s="99">
        <v>0.17</v>
      </c>
    </row>
    <row r="1443" spans="2:6" x14ac:dyDescent="0.2">
      <c r="B1443" s="101" t="s">
        <v>2430</v>
      </c>
      <c r="C1443" s="30" t="s">
        <v>1539</v>
      </c>
      <c r="D1443" s="101">
        <v>300</v>
      </c>
      <c r="E1443" s="183"/>
      <c r="F1443" s="99">
        <v>0.74</v>
      </c>
    </row>
    <row r="1444" spans="2:6" x14ac:dyDescent="0.2">
      <c r="B1444" s="101" t="s">
        <v>2430</v>
      </c>
      <c r="C1444" s="30" t="s">
        <v>1539</v>
      </c>
      <c r="D1444" s="101">
        <v>330</v>
      </c>
      <c r="E1444" s="183"/>
      <c r="F1444" s="99">
        <v>2.0299999999999998</v>
      </c>
    </row>
    <row r="1445" spans="2:6" x14ac:dyDescent="0.2">
      <c r="B1445" s="101" t="s">
        <v>2430</v>
      </c>
      <c r="C1445" s="30" t="s">
        <v>1539</v>
      </c>
      <c r="D1445" s="101">
        <v>350</v>
      </c>
      <c r="E1445" s="183"/>
      <c r="F1445" s="99">
        <v>1.36</v>
      </c>
    </row>
    <row r="1446" spans="2:6" x14ac:dyDescent="0.2">
      <c r="B1446" s="101" t="s">
        <v>2430</v>
      </c>
      <c r="C1446" s="30" t="s">
        <v>1614</v>
      </c>
      <c r="D1446" s="101">
        <v>300</v>
      </c>
      <c r="E1446" s="183"/>
      <c r="F1446" s="99">
        <v>0.04</v>
      </c>
    </row>
    <row r="1447" spans="2:6" x14ac:dyDescent="0.2">
      <c r="B1447" s="101" t="s">
        <v>2430</v>
      </c>
      <c r="C1447" s="30" t="s">
        <v>773</v>
      </c>
      <c r="D1447" s="101" t="s">
        <v>2443</v>
      </c>
      <c r="E1447" s="25"/>
      <c r="F1447" s="99">
        <f>7.52-0.65+0.32</f>
        <v>7.1899999999999995</v>
      </c>
    </row>
    <row r="1448" spans="2:6" x14ac:dyDescent="0.2">
      <c r="B1448" s="101" t="s">
        <v>2430</v>
      </c>
      <c r="C1448" s="30" t="s">
        <v>699</v>
      </c>
      <c r="D1448" s="101">
        <v>300</v>
      </c>
      <c r="E1448" s="183"/>
      <c r="F1448" s="99">
        <v>0.11</v>
      </c>
    </row>
    <row r="1449" spans="2:6" x14ac:dyDescent="0.2">
      <c r="B1449" s="101" t="s">
        <v>2430</v>
      </c>
      <c r="C1449" s="30" t="s">
        <v>699</v>
      </c>
      <c r="D1449" s="101">
        <v>320</v>
      </c>
      <c r="E1449" s="183"/>
      <c r="F1449" s="99">
        <v>1.26</v>
      </c>
    </row>
    <row r="1450" spans="2:6" x14ac:dyDescent="0.2">
      <c r="B1450" s="101" t="s">
        <v>2430</v>
      </c>
      <c r="C1450" s="30" t="s">
        <v>699</v>
      </c>
      <c r="D1450" s="101">
        <v>320</v>
      </c>
      <c r="E1450" s="183"/>
      <c r="F1450" s="99">
        <f>1.29-0.48-0.56</f>
        <v>0.25</v>
      </c>
    </row>
    <row r="1451" spans="2:6" x14ac:dyDescent="0.2">
      <c r="B1451" s="101" t="s">
        <v>2430</v>
      </c>
      <c r="C1451" s="30" t="s">
        <v>699</v>
      </c>
      <c r="D1451" s="101">
        <v>330</v>
      </c>
      <c r="E1451" s="183"/>
      <c r="F1451" s="99">
        <f>0.62+0.16</f>
        <v>0.78</v>
      </c>
    </row>
    <row r="1452" spans="2:6" x14ac:dyDescent="0.2">
      <c r="B1452" s="101" t="s">
        <v>2430</v>
      </c>
      <c r="C1452" s="30" t="s">
        <v>699</v>
      </c>
      <c r="D1452" s="101">
        <v>340</v>
      </c>
      <c r="E1452" s="183"/>
      <c r="F1452" s="99">
        <v>0.73</v>
      </c>
    </row>
    <row r="1453" spans="2:6" x14ac:dyDescent="0.2">
      <c r="B1453" s="101" t="s">
        <v>2430</v>
      </c>
      <c r="C1453" s="30" t="s">
        <v>699</v>
      </c>
      <c r="D1453" s="101">
        <v>350</v>
      </c>
      <c r="E1453" s="183"/>
      <c r="F1453" s="99">
        <v>0.79</v>
      </c>
    </row>
    <row r="1454" spans="2:6" x14ac:dyDescent="0.2">
      <c r="B1454" s="101" t="s">
        <v>2430</v>
      </c>
      <c r="C1454" s="30" t="s">
        <v>699</v>
      </c>
      <c r="D1454" s="101">
        <v>350</v>
      </c>
      <c r="E1454" s="183"/>
      <c r="F1454" s="99">
        <v>0.15</v>
      </c>
    </row>
    <row r="1455" spans="2:6" x14ac:dyDescent="0.2">
      <c r="B1455" s="101" t="s">
        <v>2430</v>
      </c>
      <c r="C1455" s="30" t="s">
        <v>401</v>
      </c>
      <c r="D1455" s="101" t="s">
        <v>2454</v>
      </c>
      <c r="E1455" s="25"/>
      <c r="F1455" s="99">
        <v>0.27</v>
      </c>
    </row>
    <row r="1456" spans="2:6" x14ac:dyDescent="0.2">
      <c r="B1456" s="30" t="s">
        <v>2430</v>
      </c>
      <c r="C1456" s="30" t="s">
        <v>414</v>
      </c>
      <c r="D1456" s="30" t="s">
        <v>2616</v>
      </c>
      <c r="E1456" s="101"/>
      <c r="F1456" s="99">
        <f>1.248-0.154-0.17-0.032</f>
        <v>0.89200000000000002</v>
      </c>
    </row>
    <row r="1457" spans="2:6" x14ac:dyDescent="0.2">
      <c r="B1457" s="30" t="s">
        <v>2430</v>
      </c>
      <c r="C1457" s="30" t="s">
        <v>414</v>
      </c>
      <c r="D1457" s="30" t="s">
        <v>2688</v>
      </c>
      <c r="E1457" s="101"/>
      <c r="F1457" s="99">
        <f>1.038+0.647-0.02-0.084-0.01-0.048</f>
        <v>1.5229999999999999</v>
      </c>
    </row>
    <row r="1458" spans="2:6" x14ac:dyDescent="0.2">
      <c r="B1458" s="30" t="s">
        <v>2430</v>
      </c>
      <c r="C1458" s="30" t="s">
        <v>414</v>
      </c>
      <c r="D1458" s="30" t="s">
        <v>2689</v>
      </c>
      <c r="E1458" s="101"/>
      <c r="F1458" s="99">
        <f>0.884+0.894-0.064-0.118-0.43-0.114-0.114-0.058</f>
        <v>0.88</v>
      </c>
    </row>
    <row r="1459" spans="2:6" x14ac:dyDescent="0.2">
      <c r="B1459" s="101" t="s">
        <v>2430</v>
      </c>
      <c r="C1459" s="30" t="s">
        <v>414</v>
      </c>
      <c r="D1459" s="101">
        <v>180</v>
      </c>
      <c r="E1459" s="183"/>
      <c r="F1459" s="99">
        <f>0.13-0.06</f>
        <v>7.0000000000000007E-2</v>
      </c>
    </row>
    <row r="1460" spans="2:6" x14ac:dyDescent="0.2">
      <c r="B1460" s="101" t="s">
        <v>2430</v>
      </c>
      <c r="C1460" s="30" t="s">
        <v>414</v>
      </c>
      <c r="D1460" s="101">
        <v>280</v>
      </c>
      <c r="E1460" s="183"/>
      <c r="F1460" s="99">
        <v>0.33</v>
      </c>
    </row>
    <row r="1461" spans="2:6" x14ac:dyDescent="0.2">
      <c r="B1461" s="101" t="s">
        <v>2430</v>
      </c>
      <c r="C1461" s="30" t="s">
        <v>212</v>
      </c>
      <c r="D1461" s="101">
        <v>320</v>
      </c>
      <c r="E1461" s="183"/>
      <c r="F1461" s="99">
        <f>2.43+1.58</f>
        <v>4.01</v>
      </c>
    </row>
    <row r="1462" spans="2:6" x14ac:dyDescent="0.2">
      <c r="B1462" s="101" t="s">
        <v>2430</v>
      </c>
      <c r="C1462" s="30" t="s">
        <v>212</v>
      </c>
      <c r="D1462" s="101">
        <v>330</v>
      </c>
      <c r="E1462" s="183"/>
      <c r="F1462" s="99">
        <f>2.44+1.78</f>
        <v>4.22</v>
      </c>
    </row>
    <row r="1463" spans="2:6" x14ac:dyDescent="0.2">
      <c r="B1463" s="30" t="s">
        <v>2430</v>
      </c>
      <c r="C1463" s="30" t="s">
        <v>219</v>
      </c>
      <c r="D1463" s="30">
        <v>500</v>
      </c>
      <c r="E1463" s="101"/>
      <c r="F1463" s="99">
        <v>5.33</v>
      </c>
    </row>
    <row r="1464" spans="2:6" x14ac:dyDescent="0.2">
      <c r="B1464" s="101" t="s">
        <v>2430</v>
      </c>
      <c r="C1464" s="30" t="s">
        <v>1643</v>
      </c>
      <c r="D1464" s="101">
        <v>200</v>
      </c>
      <c r="E1464" s="183"/>
      <c r="F1464" s="99">
        <v>0.52</v>
      </c>
    </row>
    <row r="1465" spans="2:6" x14ac:dyDescent="0.2">
      <c r="B1465" s="30" t="s">
        <v>2430</v>
      </c>
      <c r="C1465" s="30" t="s">
        <v>402</v>
      </c>
      <c r="D1465" s="30">
        <v>200</v>
      </c>
      <c r="E1465" s="101"/>
      <c r="F1465" s="99">
        <f>0.85+0.78+0.845+0.825-0.132+0.755-0.976-0.508-1.622-0.436</f>
        <v>0.38099999999999951</v>
      </c>
    </row>
    <row r="1466" spans="2:6" x14ac:dyDescent="0.2">
      <c r="B1466" s="30" t="s">
        <v>2430</v>
      </c>
      <c r="C1466" s="30" t="s">
        <v>402</v>
      </c>
      <c r="D1466" s="30">
        <v>200</v>
      </c>
      <c r="E1466" s="101"/>
      <c r="F1466" s="99">
        <f>0.762-0.144-0.196</f>
        <v>0.42199999999999999</v>
      </c>
    </row>
    <row r="1467" spans="2:6" x14ac:dyDescent="0.2">
      <c r="B1467" s="101" t="s">
        <v>2430</v>
      </c>
      <c r="C1467" s="30" t="s">
        <v>402</v>
      </c>
      <c r="D1467" s="101">
        <v>200</v>
      </c>
      <c r="E1467" s="183"/>
      <c r="F1467" s="99"/>
    </row>
    <row r="1468" spans="2:6" x14ac:dyDescent="0.2">
      <c r="B1468" s="101" t="s">
        <v>2430</v>
      </c>
      <c r="C1468" s="30" t="s">
        <v>402</v>
      </c>
      <c r="D1468" s="101">
        <v>240</v>
      </c>
      <c r="E1468" s="183"/>
      <c r="F1468" s="99">
        <v>0.12</v>
      </c>
    </row>
    <row r="1469" spans="2:6" x14ac:dyDescent="0.2">
      <c r="B1469" s="101" t="s">
        <v>2430</v>
      </c>
      <c r="C1469" s="30" t="s">
        <v>402</v>
      </c>
      <c r="D1469" s="101">
        <v>290</v>
      </c>
      <c r="E1469" s="183"/>
      <c r="F1469" s="99">
        <v>2.12</v>
      </c>
    </row>
    <row r="1470" spans="2:6" x14ac:dyDescent="0.2">
      <c r="B1470" s="101" t="s">
        <v>2430</v>
      </c>
      <c r="C1470" s="30" t="s">
        <v>402</v>
      </c>
      <c r="D1470" s="101">
        <v>290</v>
      </c>
      <c r="E1470" s="183"/>
      <c r="F1470" s="99">
        <v>0.92</v>
      </c>
    </row>
    <row r="1471" spans="2:6" x14ac:dyDescent="0.2">
      <c r="B1471" s="101" t="s">
        <v>2430</v>
      </c>
      <c r="C1471" s="30" t="s">
        <v>402</v>
      </c>
      <c r="D1471" s="101">
        <v>290</v>
      </c>
      <c r="E1471" s="183"/>
      <c r="F1471" s="99">
        <v>0.77</v>
      </c>
    </row>
    <row r="1472" spans="2:6" x14ac:dyDescent="0.2">
      <c r="B1472" s="101" t="s">
        <v>2430</v>
      </c>
      <c r="C1472" s="30" t="s">
        <v>402</v>
      </c>
      <c r="D1472" s="101">
        <v>300</v>
      </c>
      <c r="E1472" s="25"/>
      <c r="F1472" s="99">
        <f>4.54+0.75</f>
        <v>5.29</v>
      </c>
    </row>
    <row r="1473" spans="2:6" x14ac:dyDescent="0.2">
      <c r="B1473" s="101" t="s">
        <v>2430</v>
      </c>
      <c r="C1473" s="30" t="s">
        <v>402</v>
      </c>
      <c r="D1473" s="101">
        <v>300</v>
      </c>
      <c r="E1473" s="25"/>
      <c r="F1473" s="99">
        <v>3.29</v>
      </c>
    </row>
    <row r="1474" spans="2:6" x14ac:dyDescent="0.2">
      <c r="B1474" s="101" t="s">
        <v>2430</v>
      </c>
      <c r="C1474" s="30" t="s">
        <v>402</v>
      </c>
      <c r="D1474" s="101">
        <v>300</v>
      </c>
      <c r="E1474" s="25"/>
      <c r="F1474" s="99">
        <v>0.1</v>
      </c>
    </row>
    <row r="1475" spans="2:6" x14ac:dyDescent="0.2">
      <c r="B1475" s="101" t="s">
        <v>2430</v>
      </c>
      <c r="C1475" s="30" t="s">
        <v>402</v>
      </c>
      <c r="D1475" s="101">
        <v>310</v>
      </c>
      <c r="E1475" s="25"/>
      <c r="F1475" s="99">
        <v>1.5</v>
      </c>
    </row>
    <row r="1476" spans="2:6" x14ac:dyDescent="0.2">
      <c r="B1476" s="101" t="s">
        <v>2430</v>
      </c>
      <c r="C1476" s="30" t="s">
        <v>402</v>
      </c>
      <c r="D1476" s="101">
        <v>310</v>
      </c>
      <c r="E1476" s="25"/>
      <c r="F1476" s="99">
        <v>0.04</v>
      </c>
    </row>
    <row r="1477" spans="2:6" x14ac:dyDescent="0.2">
      <c r="B1477" s="101" t="s">
        <v>2430</v>
      </c>
      <c r="C1477" s="30" t="s">
        <v>402</v>
      </c>
      <c r="D1477" s="101">
        <v>320</v>
      </c>
      <c r="E1477" s="183"/>
      <c r="F1477" s="99">
        <v>3.52</v>
      </c>
    </row>
    <row r="1478" spans="2:6" x14ac:dyDescent="0.2">
      <c r="B1478" s="101" t="s">
        <v>2430</v>
      </c>
      <c r="C1478" s="30" t="s">
        <v>402</v>
      </c>
      <c r="D1478" s="101">
        <v>320</v>
      </c>
      <c r="E1478" s="183"/>
      <c r="F1478" s="99">
        <v>0.88</v>
      </c>
    </row>
    <row r="1479" spans="2:6" x14ac:dyDescent="0.2">
      <c r="B1479" s="101" t="s">
        <v>2430</v>
      </c>
      <c r="C1479" s="30" t="s">
        <v>402</v>
      </c>
      <c r="D1479" s="101">
        <v>320</v>
      </c>
      <c r="E1479" s="183"/>
      <c r="F1479" s="99">
        <v>0.47</v>
      </c>
    </row>
    <row r="1480" spans="2:6" x14ac:dyDescent="0.2">
      <c r="B1480" s="101" t="s">
        <v>2430</v>
      </c>
      <c r="C1480" s="30" t="s">
        <v>402</v>
      </c>
      <c r="D1480" s="101">
        <v>320</v>
      </c>
      <c r="E1480" s="183"/>
      <c r="F1480" s="99">
        <v>0.38</v>
      </c>
    </row>
    <row r="1481" spans="2:6" x14ac:dyDescent="0.2">
      <c r="B1481" s="101" t="s">
        <v>2430</v>
      </c>
      <c r="C1481" s="30" t="s">
        <v>402</v>
      </c>
      <c r="D1481" s="101">
        <v>330</v>
      </c>
      <c r="E1481" s="183"/>
      <c r="F1481" s="99">
        <v>4.84</v>
      </c>
    </row>
    <row r="1482" spans="2:6" x14ac:dyDescent="0.2">
      <c r="B1482" s="101" t="s">
        <v>2430</v>
      </c>
      <c r="C1482" s="30" t="s">
        <v>402</v>
      </c>
      <c r="D1482" s="101">
        <v>330</v>
      </c>
      <c r="E1482" s="183"/>
      <c r="F1482" s="99">
        <f>1.77+1.62+1.78</f>
        <v>5.17</v>
      </c>
    </row>
    <row r="1483" spans="2:6" x14ac:dyDescent="0.2">
      <c r="B1483" s="101" t="s">
        <v>2430</v>
      </c>
      <c r="C1483" s="30" t="s">
        <v>402</v>
      </c>
      <c r="D1483" s="101">
        <v>330</v>
      </c>
      <c r="E1483" s="183"/>
      <c r="F1483" s="99">
        <v>0.11</v>
      </c>
    </row>
    <row r="1484" spans="2:6" x14ac:dyDescent="0.2">
      <c r="B1484" s="101" t="s">
        <v>2430</v>
      </c>
      <c r="C1484" s="30" t="s">
        <v>402</v>
      </c>
      <c r="D1484" s="101">
        <v>340</v>
      </c>
      <c r="E1484" s="183"/>
      <c r="F1484" s="99">
        <f>0.96+0.9</f>
        <v>1.8599999999999999</v>
      </c>
    </row>
    <row r="1485" spans="2:6" x14ac:dyDescent="0.2">
      <c r="B1485" s="101" t="s">
        <v>2430</v>
      </c>
      <c r="C1485" s="30" t="s">
        <v>402</v>
      </c>
      <c r="D1485" s="101">
        <v>340</v>
      </c>
      <c r="E1485" s="183"/>
      <c r="F1485" s="99">
        <v>0.33</v>
      </c>
    </row>
    <row r="1486" spans="2:6" x14ac:dyDescent="0.2">
      <c r="B1486" s="101" t="s">
        <v>2430</v>
      </c>
      <c r="C1486" s="30" t="s">
        <v>402</v>
      </c>
      <c r="D1486" s="101">
        <v>340</v>
      </c>
      <c r="E1486" s="183"/>
      <c r="F1486" s="99">
        <f>0.12+0.07</f>
        <v>0.19</v>
      </c>
    </row>
    <row r="1487" spans="2:6" x14ac:dyDescent="0.2">
      <c r="B1487" s="101" t="s">
        <v>2430</v>
      </c>
      <c r="C1487" s="30" t="s">
        <v>402</v>
      </c>
      <c r="D1487" s="101">
        <v>350</v>
      </c>
      <c r="E1487" s="25"/>
      <c r="F1487" s="99">
        <f>1.03+0.44+0.18</f>
        <v>1.65</v>
      </c>
    </row>
    <row r="1488" spans="2:6" x14ac:dyDescent="0.2">
      <c r="B1488" s="101" t="s">
        <v>2430</v>
      </c>
      <c r="C1488" s="30" t="s">
        <v>402</v>
      </c>
      <c r="D1488" s="101">
        <v>350</v>
      </c>
      <c r="E1488" s="25"/>
      <c r="F1488" s="99">
        <f>0.23+0.13</f>
        <v>0.36</v>
      </c>
    </row>
    <row r="1489" spans="2:6" x14ac:dyDescent="0.2">
      <c r="B1489" s="101" t="s">
        <v>2430</v>
      </c>
      <c r="C1489" s="30" t="s">
        <v>402</v>
      </c>
      <c r="D1489" s="101">
        <v>350</v>
      </c>
      <c r="E1489" s="25"/>
      <c r="F1489" s="99">
        <v>0.35</v>
      </c>
    </row>
    <row r="1490" spans="2:6" x14ac:dyDescent="0.2">
      <c r="B1490" s="101" t="s">
        <v>2430</v>
      </c>
      <c r="C1490" s="30" t="s">
        <v>1664</v>
      </c>
      <c r="D1490" s="101">
        <v>250</v>
      </c>
      <c r="E1490" s="183"/>
      <c r="F1490" s="99">
        <v>2.2999999999999998</v>
      </c>
    </row>
    <row r="1491" spans="2:6" x14ac:dyDescent="0.2">
      <c r="B1491" s="101" t="s">
        <v>2430</v>
      </c>
      <c r="C1491" s="30" t="s">
        <v>1664</v>
      </c>
      <c r="D1491" s="101">
        <v>260</v>
      </c>
      <c r="E1491" s="183"/>
      <c r="F1491" s="99">
        <v>2.42</v>
      </c>
    </row>
    <row r="1492" spans="2:6" x14ac:dyDescent="0.2">
      <c r="B1492" s="101" t="s">
        <v>2430</v>
      </c>
      <c r="C1492" s="30" t="s">
        <v>1664</v>
      </c>
      <c r="D1492" s="101">
        <v>290</v>
      </c>
      <c r="E1492" s="183"/>
      <c r="F1492" s="99">
        <v>2.98</v>
      </c>
    </row>
    <row r="1493" spans="2:6" x14ac:dyDescent="0.2">
      <c r="B1493" s="101" t="s">
        <v>2430</v>
      </c>
      <c r="C1493" s="30" t="s">
        <v>1664</v>
      </c>
      <c r="D1493" s="101">
        <v>290</v>
      </c>
      <c r="E1493" s="183"/>
      <c r="F1493" s="99">
        <v>0.57999999999999996</v>
      </c>
    </row>
    <row r="1494" spans="2:6" x14ac:dyDescent="0.2">
      <c r="B1494" s="101" t="s">
        <v>2430</v>
      </c>
      <c r="C1494" s="30" t="s">
        <v>1664</v>
      </c>
      <c r="D1494" s="101" t="s">
        <v>2502</v>
      </c>
      <c r="E1494" s="25"/>
      <c r="F1494" s="99">
        <v>4.04</v>
      </c>
    </row>
    <row r="1495" spans="2:6" x14ac:dyDescent="0.2">
      <c r="B1495" s="101" t="s">
        <v>2430</v>
      </c>
      <c r="C1495" s="30" t="s">
        <v>1664</v>
      </c>
      <c r="D1495" s="101">
        <v>350</v>
      </c>
      <c r="E1495" s="25"/>
      <c r="F1495" s="99">
        <v>1.88</v>
      </c>
    </row>
    <row r="1496" spans="2:6" x14ac:dyDescent="0.2">
      <c r="B1496" s="101" t="s">
        <v>2430</v>
      </c>
      <c r="C1496" s="30" t="s">
        <v>1748</v>
      </c>
      <c r="D1496" s="101">
        <v>340</v>
      </c>
      <c r="E1496" s="183"/>
      <c r="F1496" s="99">
        <v>0.6</v>
      </c>
    </row>
    <row r="1497" spans="2:6" x14ac:dyDescent="0.2">
      <c r="B1497" s="101" t="s">
        <v>2430</v>
      </c>
      <c r="C1497" s="30" t="s">
        <v>1703</v>
      </c>
      <c r="D1497" s="101">
        <v>350</v>
      </c>
      <c r="E1497" s="25"/>
      <c r="F1497" s="99">
        <v>5.98</v>
      </c>
    </row>
    <row r="1498" spans="2:6" x14ac:dyDescent="0.2">
      <c r="B1498" s="101" t="s">
        <v>2430</v>
      </c>
      <c r="C1498" s="30" t="s">
        <v>1727</v>
      </c>
      <c r="D1498" s="101" t="s">
        <v>2482</v>
      </c>
      <c r="E1498" s="183"/>
      <c r="F1498" s="99">
        <v>1.35</v>
      </c>
    </row>
    <row r="1499" spans="2:6" x14ac:dyDescent="0.2">
      <c r="B1499" s="101" t="s">
        <v>2430</v>
      </c>
      <c r="C1499" s="30" t="s">
        <v>1727</v>
      </c>
      <c r="D1499" s="101" t="s">
        <v>2489</v>
      </c>
      <c r="E1499" s="183"/>
      <c r="F1499" s="99">
        <v>1.17</v>
      </c>
    </row>
    <row r="1500" spans="2:6" x14ac:dyDescent="0.2">
      <c r="B1500" s="101" t="s">
        <v>2430</v>
      </c>
      <c r="C1500" s="30" t="s">
        <v>1727</v>
      </c>
      <c r="D1500" s="101" t="s">
        <v>1729</v>
      </c>
      <c r="E1500" s="183"/>
      <c r="F1500" s="99">
        <v>0.3</v>
      </c>
    </row>
    <row r="1501" spans="2:6" x14ac:dyDescent="0.2">
      <c r="B1501" s="101" t="s">
        <v>2430</v>
      </c>
      <c r="C1501" s="30" t="s">
        <v>1727</v>
      </c>
      <c r="D1501" s="101" t="s">
        <v>2490</v>
      </c>
      <c r="E1501" s="183"/>
      <c r="F1501" s="99">
        <v>1.52</v>
      </c>
    </row>
    <row r="1502" spans="2:6" x14ac:dyDescent="0.2">
      <c r="B1502" s="101" t="s">
        <v>2430</v>
      </c>
      <c r="C1502" s="30" t="s">
        <v>1727</v>
      </c>
      <c r="D1502" s="101" t="s">
        <v>2491</v>
      </c>
      <c r="E1502" s="183"/>
      <c r="F1502" s="99">
        <f>1.53+1.53</f>
        <v>3.06</v>
      </c>
    </row>
    <row r="1503" spans="2:6" x14ac:dyDescent="0.2">
      <c r="B1503" s="101" t="s">
        <v>2430</v>
      </c>
      <c r="C1503" s="30" t="s">
        <v>1727</v>
      </c>
      <c r="D1503" s="101" t="s">
        <v>2491</v>
      </c>
      <c r="E1503" s="183"/>
      <c r="F1503" s="99">
        <v>1.52</v>
      </c>
    </row>
    <row r="1504" spans="2:6" x14ac:dyDescent="0.2">
      <c r="B1504" s="101" t="s">
        <v>2430</v>
      </c>
      <c r="C1504" s="30" t="s">
        <v>1727</v>
      </c>
      <c r="D1504" s="101" t="s">
        <v>2492</v>
      </c>
      <c r="E1504" s="183"/>
      <c r="F1504" s="99">
        <v>1.48</v>
      </c>
    </row>
    <row r="1505" spans="2:6" x14ac:dyDescent="0.2">
      <c r="B1505" s="101" t="s">
        <v>2430</v>
      </c>
      <c r="C1505" s="30" t="s">
        <v>1727</v>
      </c>
      <c r="D1505" s="101" t="s">
        <v>2493</v>
      </c>
      <c r="E1505" s="183"/>
      <c r="F1505" s="99">
        <v>0.09</v>
      </c>
    </row>
    <row r="1506" spans="2:6" x14ac:dyDescent="0.2">
      <c r="B1506" s="101" t="s">
        <v>2430</v>
      </c>
      <c r="C1506" s="30" t="s">
        <v>1667</v>
      </c>
      <c r="D1506" s="101">
        <v>350</v>
      </c>
      <c r="E1506" s="183"/>
      <c r="F1506" s="99">
        <v>5.95</v>
      </c>
    </row>
    <row r="1507" spans="2:6" x14ac:dyDescent="0.2">
      <c r="B1507" s="101" t="s">
        <v>2430</v>
      </c>
      <c r="C1507" s="30" t="s">
        <v>746</v>
      </c>
      <c r="D1507" s="101">
        <v>330</v>
      </c>
      <c r="E1507" s="183"/>
      <c r="F1507" s="99">
        <v>0.6</v>
      </c>
    </row>
    <row r="1508" spans="2:6" x14ac:dyDescent="0.2">
      <c r="B1508" s="30" t="s">
        <v>2430</v>
      </c>
      <c r="C1508" s="30" t="s">
        <v>404</v>
      </c>
      <c r="D1508" s="30">
        <v>180</v>
      </c>
      <c r="E1508" s="101"/>
      <c r="F1508" s="99">
        <f>0.95-0.654-(0.13)</f>
        <v>0.16599999999999993</v>
      </c>
    </row>
    <row r="1509" spans="2:6" x14ac:dyDescent="0.2">
      <c r="B1509" s="30" t="s">
        <v>2430</v>
      </c>
      <c r="C1509" s="30" t="s">
        <v>404</v>
      </c>
      <c r="D1509" s="30">
        <v>180</v>
      </c>
      <c r="E1509" s="101"/>
      <c r="F1509" s="99">
        <f>0.795-0.154</f>
        <v>0.64100000000000001</v>
      </c>
    </row>
    <row r="1510" spans="2:6" x14ac:dyDescent="0.2">
      <c r="B1510" s="30" t="s">
        <v>2430</v>
      </c>
      <c r="C1510" s="30" t="s">
        <v>404</v>
      </c>
      <c r="D1510" s="30">
        <v>190</v>
      </c>
      <c r="E1510" s="101"/>
      <c r="F1510" s="34">
        <f>0.742-0.342</f>
        <v>0.39999999999999997</v>
      </c>
    </row>
    <row r="1511" spans="2:6" x14ac:dyDescent="0.2">
      <c r="B1511" s="30" t="s">
        <v>2430</v>
      </c>
      <c r="C1511" s="30" t="s">
        <v>404</v>
      </c>
      <c r="D1511" s="30">
        <v>200</v>
      </c>
      <c r="E1511" s="101"/>
      <c r="F1511" s="99">
        <f>0.72+0.77+0.69+0.77-0.408-0.448</f>
        <v>2.0939999999999999</v>
      </c>
    </row>
    <row r="1512" spans="2:6" x14ac:dyDescent="0.2">
      <c r="B1512" s="30" t="s">
        <v>2430</v>
      </c>
      <c r="C1512" s="30" t="s">
        <v>404</v>
      </c>
      <c r="D1512" s="30">
        <v>200</v>
      </c>
      <c r="E1512" s="101"/>
      <c r="F1512" s="99">
        <f>0.824-0.134</f>
        <v>0.69</v>
      </c>
    </row>
    <row r="1513" spans="2:6" x14ac:dyDescent="0.2">
      <c r="B1513" s="30" t="s">
        <v>2430</v>
      </c>
      <c r="C1513" s="30" t="s">
        <v>404</v>
      </c>
      <c r="D1513" s="30">
        <v>210</v>
      </c>
      <c r="E1513" s="101"/>
      <c r="F1513" s="99">
        <f>0.698-0.452</f>
        <v>0.24599999999999994</v>
      </c>
    </row>
    <row r="1514" spans="2:6" x14ac:dyDescent="0.2">
      <c r="B1514" s="30" t="s">
        <v>2430</v>
      </c>
      <c r="C1514" s="30" t="s">
        <v>404</v>
      </c>
      <c r="D1514" s="30">
        <v>220</v>
      </c>
      <c r="E1514" s="101"/>
      <c r="F1514" s="99">
        <v>0.99</v>
      </c>
    </row>
    <row r="1515" spans="2:6" x14ac:dyDescent="0.2">
      <c r="B1515" s="30" t="s">
        <v>2430</v>
      </c>
      <c r="C1515" s="30" t="s">
        <v>404</v>
      </c>
      <c r="D1515" s="30">
        <v>220</v>
      </c>
      <c r="E1515" s="101"/>
      <c r="F1515" s="99">
        <v>0.83399999999999996</v>
      </c>
    </row>
    <row r="1516" spans="2:6" x14ac:dyDescent="0.2">
      <c r="B1516" s="30" t="s">
        <v>2430</v>
      </c>
      <c r="C1516" s="30" t="s">
        <v>404</v>
      </c>
      <c r="D1516" s="30">
        <v>230</v>
      </c>
      <c r="E1516" s="101"/>
      <c r="F1516" s="34">
        <f>0.326+0.292+0.32+0.29-0.312-0.29</f>
        <v>0.62599999999999989</v>
      </c>
    </row>
    <row r="1517" spans="2:6" x14ac:dyDescent="0.2">
      <c r="B1517" s="30" t="s">
        <v>2430</v>
      </c>
      <c r="C1517" s="30" t="s">
        <v>404</v>
      </c>
      <c r="D1517" s="30">
        <v>350</v>
      </c>
      <c r="E1517" s="101"/>
      <c r="F1517" s="99">
        <f>3.16-1.22-0.188-0.328-0.194-1.146-(0.084)+0.13</f>
        <v>0.13000000000000028</v>
      </c>
    </row>
    <row r="1518" spans="2:6" x14ac:dyDescent="0.2">
      <c r="B1518" s="30" t="s">
        <v>2430</v>
      </c>
      <c r="C1518" s="30" t="s">
        <v>404</v>
      </c>
      <c r="D1518" s="30">
        <v>670</v>
      </c>
      <c r="E1518" s="101"/>
      <c r="F1518" s="99">
        <f>2.8-1.95-0.636+(0.108)</f>
        <v>0.32199999999999984</v>
      </c>
    </row>
    <row r="1519" spans="2:6" x14ac:dyDescent="0.2">
      <c r="B1519" s="30" t="s">
        <v>2430</v>
      </c>
      <c r="C1519" s="30" t="s">
        <v>404</v>
      </c>
      <c r="D1519" s="30">
        <v>670</v>
      </c>
      <c r="E1519" s="101"/>
      <c r="F1519" s="99">
        <f>2-0.622-0.884+(0.512)-0.634</f>
        <v>0.37200000000000022</v>
      </c>
    </row>
    <row r="1520" spans="2:6" x14ac:dyDescent="0.2">
      <c r="B1520" s="30" t="s">
        <v>2430</v>
      </c>
      <c r="C1520" s="30" t="s">
        <v>404</v>
      </c>
      <c r="D1520" s="30">
        <v>680</v>
      </c>
      <c r="E1520" s="101"/>
      <c r="F1520" s="99">
        <f>3.35-1.906-1.086</f>
        <v>0.3580000000000001</v>
      </c>
    </row>
    <row r="1521" spans="2:6" x14ac:dyDescent="0.2">
      <c r="B1521" s="30" t="s">
        <v>2430</v>
      </c>
      <c r="C1521" s="30" t="s">
        <v>404</v>
      </c>
      <c r="D1521" s="30">
        <v>1150</v>
      </c>
      <c r="E1521" s="101"/>
      <c r="F1521" s="99">
        <f>2.108+2.436+5.34-2.108-2.436+(2.436)+(2.108)-9.884+2.436+1.108</f>
        <v>3.544</v>
      </c>
    </row>
    <row r="1522" spans="2:6" x14ac:dyDescent="0.2">
      <c r="B1522" s="101" t="s">
        <v>2430</v>
      </c>
      <c r="C1522" s="30" t="s">
        <v>404</v>
      </c>
      <c r="D1522" s="101">
        <v>330</v>
      </c>
      <c r="E1522" s="183"/>
      <c r="F1522" s="99">
        <v>0.25</v>
      </c>
    </row>
    <row r="1523" spans="2:6" x14ac:dyDescent="0.2">
      <c r="B1523" s="101" t="s">
        <v>2430</v>
      </c>
      <c r="C1523" s="30" t="s">
        <v>310</v>
      </c>
      <c r="D1523" s="101">
        <v>210</v>
      </c>
      <c r="E1523" s="25"/>
      <c r="F1523" s="99">
        <v>0.11</v>
      </c>
    </row>
    <row r="1524" spans="2:6" x14ac:dyDescent="0.2">
      <c r="B1524" s="101" t="s">
        <v>2430</v>
      </c>
      <c r="C1524" s="30" t="s">
        <v>310</v>
      </c>
      <c r="D1524" s="101">
        <v>300</v>
      </c>
      <c r="E1524" s="183"/>
      <c r="F1524" s="99">
        <f>0.94+2.39+2.54+2.36+2.35</f>
        <v>10.58</v>
      </c>
    </row>
    <row r="1525" spans="2:6" x14ac:dyDescent="0.2">
      <c r="B1525" s="101" t="s">
        <v>2430</v>
      </c>
      <c r="C1525" s="30" t="s">
        <v>310</v>
      </c>
      <c r="D1525" s="101">
        <v>320</v>
      </c>
      <c r="E1525" s="183"/>
      <c r="F1525" s="99">
        <v>3.65</v>
      </c>
    </row>
    <row r="1526" spans="2:6" x14ac:dyDescent="0.2">
      <c r="B1526" s="101" t="s">
        <v>2430</v>
      </c>
      <c r="C1526" s="30" t="s">
        <v>310</v>
      </c>
      <c r="D1526" s="101" t="s">
        <v>2487</v>
      </c>
      <c r="E1526" s="183"/>
      <c r="F1526" s="99">
        <v>2.6</v>
      </c>
    </row>
    <row r="1527" spans="2:6" x14ac:dyDescent="0.2">
      <c r="B1527" s="101" t="s">
        <v>2430</v>
      </c>
      <c r="C1527" s="30" t="s">
        <v>310</v>
      </c>
      <c r="D1527" s="101">
        <v>340</v>
      </c>
      <c r="E1527" s="183"/>
      <c r="F1527" s="99">
        <v>0.245</v>
      </c>
    </row>
    <row r="1528" spans="2:6" x14ac:dyDescent="0.2">
      <c r="B1528" s="101" t="s">
        <v>2430</v>
      </c>
      <c r="C1528" s="30" t="s">
        <v>1559</v>
      </c>
      <c r="D1528" s="101">
        <v>110</v>
      </c>
      <c r="E1528" s="25"/>
      <c r="F1528" s="99">
        <v>0.19</v>
      </c>
    </row>
    <row r="1529" spans="2:6" x14ac:dyDescent="0.2">
      <c r="B1529" s="101" t="s">
        <v>2430</v>
      </c>
      <c r="C1529" s="30" t="s">
        <v>1559</v>
      </c>
      <c r="D1529" s="101">
        <v>110</v>
      </c>
      <c r="E1529" s="25"/>
      <c r="F1529" s="99">
        <v>0.09</v>
      </c>
    </row>
    <row r="1530" spans="2:6" x14ac:dyDescent="0.2">
      <c r="B1530" s="101" t="s">
        <v>2430</v>
      </c>
      <c r="C1530" s="30" t="s">
        <v>1559</v>
      </c>
      <c r="D1530" s="101">
        <v>140</v>
      </c>
      <c r="E1530" s="25"/>
      <c r="F1530" s="99">
        <v>0.71</v>
      </c>
    </row>
    <row r="1531" spans="2:6" x14ac:dyDescent="0.2">
      <c r="B1531" s="101" t="s">
        <v>2430</v>
      </c>
      <c r="C1531" s="30" t="s">
        <v>1559</v>
      </c>
      <c r="D1531" s="101">
        <v>140</v>
      </c>
      <c r="E1531" s="25"/>
      <c r="F1531" s="99">
        <v>0.2</v>
      </c>
    </row>
    <row r="1532" spans="2:6" x14ac:dyDescent="0.2">
      <c r="B1532" s="30" t="s">
        <v>2430</v>
      </c>
      <c r="C1532" s="30" t="s">
        <v>217</v>
      </c>
      <c r="D1532" s="30">
        <v>260</v>
      </c>
      <c r="E1532" s="101"/>
      <c r="F1532" s="34">
        <v>0.45800000000000002</v>
      </c>
    </row>
    <row r="1533" spans="2:6" x14ac:dyDescent="0.2">
      <c r="B1533" s="30" t="s">
        <v>2430</v>
      </c>
      <c r="C1533" s="30" t="s">
        <v>217</v>
      </c>
      <c r="D1533" s="30">
        <v>280</v>
      </c>
      <c r="E1533" s="101"/>
      <c r="F1533" s="34">
        <v>0.28000000000000003</v>
      </c>
    </row>
    <row r="1534" spans="2:6" x14ac:dyDescent="0.2">
      <c r="B1534" s="30" t="s">
        <v>2430</v>
      </c>
      <c r="C1534" s="30" t="s">
        <v>217</v>
      </c>
      <c r="D1534" s="30">
        <v>350</v>
      </c>
      <c r="E1534" s="101"/>
      <c r="F1534" s="34">
        <v>0.438</v>
      </c>
    </row>
    <row r="1535" spans="2:6" x14ac:dyDescent="0.2">
      <c r="B1535" s="30" t="s">
        <v>2430</v>
      </c>
      <c r="C1535" s="30" t="s">
        <v>217</v>
      </c>
      <c r="D1535" s="30">
        <v>720</v>
      </c>
      <c r="E1535" s="101"/>
      <c r="F1535" s="99">
        <v>0.66</v>
      </c>
    </row>
    <row r="1536" spans="2:6" x14ac:dyDescent="0.2">
      <c r="B1536" s="101" t="s">
        <v>2430</v>
      </c>
      <c r="C1536" s="30" t="s">
        <v>217</v>
      </c>
      <c r="D1536" s="101">
        <v>250</v>
      </c>
      <c r="E1536" s="183"/>
      <c r="F1536" s="99">
        <v>0.34</v>
      </c>
    </row>
    <row r="1537" spans="2:6" x14ac:dyDescent="0.2">
      <c r="B1537" s="101" t="s">
        <v>2430</v>
      </c>
      <c r="C1537" s="30" t="s">
        <v>217</v>
      </c>
      <c r="D1537" s="101">
        <v>270</v>
      </c>
      <c r="E1537" s="183"/>
      <c r="F1537" s="99">
        <v>0.15</v>
      </c>
    </row>
    <row r="1538" spans="2:6" x14ac:dyDescent="0.2">
      <c r="B1538" s="101" t="s">
        <v>2430</v>
      </c>
      <c r="C1538" s="30" t="s">
        <v>217</v>
      </c>
      <c r="D1538" s="101">
        <v>300</v>
      </c>
      <c r="E1538" s="183"/>
      <c r="F1538" s="99">
        <f>2.41+0.45</f>
        <v>2.8600000000000003</v>
      </c>
    </row>
    <row r="1539" spans="2:6" x14ac:dyDescent="0.2">
      <c r="B1539" s="101" t="s">
        <v>2430</v>
      </c>
      <c r="C1539" s="30" t="s">
        <v>217</v>
      </c>
      <c r="D1539" s="101">
        <v>300</v>
      </c>
      <c r="E1539" s="183"/>
      <c r="F1539" s="99">
        <v>0.28999999999999998</v>
      </c>
    </row>
    <row r="1540" spans="2:6" x14ac:dyDescent="0.2">
      <c r="B1540" s="101" t="s">
        <v>2430</v>
      </c>
      <c r="C1540" s="30" t="s">
        <v>217</v>
      </c>
      <c r="D1540" s="101">
        <v>300</v>
      </c>
      <c r="E1540" s="183"/>
      <c r="F1540" s="99"/>
    </row>
    <row r="1541" spans="2:6" x14ac:dyDescent="0.2">
      <c r="B1541" s="101" t="s">
        <v>2430</v>
      </c>
      <c r="C1541" s="30" t="s">
        <v>217</v>
      </c>
      <c r="D1541" s="101">
        <v>300</v>
      </c>
      <c r="E1541" s="183"/>
      <c r="F1541" s="99">
        <v>0.13</v>
      </c>
    </row>
    <row r="1542" spans="2:6" x14ac:dyDescent="0.2">
      <c r="B1542" s="101" t="s">
        <v>2430</v>
      </c>
      <c r="C1542" s="30" t="s">
        <v>217</v>
      </c>
      <c r="D1542" s="101" t="s">
        <v>2476</v>
      </c>
      <c r="E1542" s="25"/>
      <c r="F1542" s="99">
        <f>0.215+0.23-0.23</f>
        <v>0.215</v>
      </c>
    </row>
    <row r="1543" spans="2:6" x14ac:dyDescent="0.2">
      <c r="B1543" s="101" t="s">
        <v>2430</v>
      </c>
      <c r="C1543" s="30" t="s">
        <v>217</v>
      </c>
      <c r="D1543" s="101">
        <v>320</v>
      </c>
      <c r="E1543" s="183"/>
      <c r="F1543" s="99">
        <v>4.3600000000000003</v>
      </c>
    </row>
    <row r="1544" spans="2:6" x14ac:dyDescent="0.2">
      <c r="B1544" s="101" t="s">
        <v>2430</v>
      </c>
      <c r="C1544" s="30" t="s">
        <v>217</v>
      </c>
      <c r="D1544" s="101">
        <v>320</v>
      </c>
      <c r="E1544" s="183"/>
      <c r="F1544" s="99">
        <f>3.75+4.28</f>
        <v>8.0300000000000011</v>
      </c>
    </row>
    <row r="1545" spans="2:6" x14ac:dyDescent="0.2">
      <c r="B1545" s="101" t="s">
        <v>2430</v>
      </c>
      <c r="C1545" s="30" t="s">
        <v>217</v>
      </c>
      <c r="D1545" s="101">
        <v>320</v>
      </c>
      <c r="E1545" s="183"/>
      <c r="F1545" s="99">
        <v>3.38</v>
      </c>
    </row>
    <row r="1546" spans="2:6" x14ac:dyDescent="0.2">
      <c r="B1546" s="101" t="s">
        <v>2430</v>
      </c>
      <c r="C1546" s="30" t="s">
        <v>217</v>
      </c>
      <c r="D1546" s="101">
        <v>320</v>
      </c>
      <c r="E1546" s="183"/>
      <c r="F1546" s="99">
        <v>1.84</v>
      </c>
    </row>
    <row r="1547" spans="2:6" x14ac:dyDescent="0.2">
      <c r="B1547" s="101" t="s">
        <v>2430</v>
      </c>
      <c r="C1547" s="30" t="s">
        <v>217</v>
      </c>
      <c r="D1547" s="101">
        <v>320</v>
      </c>
      <c r="E1547" s="183"/>
      <c r="F1547" s="99">
        <v>1.54</v>
      </c>
    </row>
    <row r="1548" spans="2:6" x14ac:dyDescent="0.2">
      <c r="B1548" s="101" t="s">
        <v>2430</v>
      </c>
      <c r="C1548" s="30" t="s">
        <v>217</v>
      </c>
      <c r="D1548" s="101">
        <v>320</v>
      </c>
      <c r="E1548" s="183"/>
      <c r="F1548" s="99">
        <v>1.18</v>
      </c>
    </row>
    <row r="1549" spans="2:6" x14ac:dyDescent="0.2">
      <c r="B1549" s="101" t="s">
        <v>2430</v>
      </c>
      <c r="C1549" s="30" t="s">
        <v>217</v>
      </c>
      <c r="D1549" s="101">
        <v>320</v>
      </c>
      <c r="E1549" s="183"/>
      <c r="F1549" s="99">
        <v>0.16</v>
      </c>
    </row>
    <row r="1550" spans="2:6" x14ac:dyDescent="0.2">
      <c r="B1550" s="101" t="s">
        <v>2430</v>
      </c>
      <c r="C1550" s="30" t="s">
        <v>217</v>
      </c>
      <c r="D1550" s="101">
        <v>330</v>
      </c>
      <c r="E1550" s="183"/>
      <c r="F1550" s="99">
        <v>1.25</v>
      </c>
    </row>
    <row r="1551" spans="2:6" x14ac:dyDescent="0.2">
      <c r="B1551" s="101" t="s">
        <v>2430</v>
      </c>
      <c r="C1551" s="30" t="s">
        <v>217</v>
      </c>
      <c r="D1551" s="101">
        <v>330</v>
      </c>
      <c r="E1551" s="183"/>
      <c r="F1551" s="99">
        <v>0.7</v>
      </c>
    </row>
    <row r="1552" spans="2:6" x14ac:dyDescent="0.2">
      <c r="B1552" s="101" t="s">
        <v>2430</v>
      </c>
      <c r="C1552" s="30" t="s">
        <v>217</v>
      </c>
      <c r="D1552" s="101">
        <v>330</v>
      </c>
      <c r="E1552" s="183"/>
      <c r="F1552" s="99">
        <v>0.28000000000000003</v>
      </c>
    </row>
    <row r="1553" spans="2:6" x14ac:dyDescent="0.2">
      <c r="B1553" s="101" t="s">
        <v>2430</v>
      </c>
      <c r="C1553" s="30" t="s">
        <v>217</v>
      </c>
      <c r="D1553" s="101">
        <v>330</v>
      </c>
      <c r="E1553" s="183"/>
      <c r="F1553" s="99">
        <f>0.35-0.085</f>
        <v>0.26499999999999996</v>
      </c>
    </row>
    <row r="1554" spans="2:6" x14ac:dyDescent="0.2">
      <c r="B1554" s="101" t="s">
        <v>2430</v>
      </c>
      <c r="C1554" s="30" t="s">
        <v>217</v>
      </c>
      <c r="D1554" s="101">
        <v>350</v>
      </c>
      <c r="E1554" s="183"/>
      <c r="F1554" s="99">
        <v>0.1</v>
      </c>
    </row>
    <row r="1555" spans="2:6" x14ac:dyDescent="0.2">
      <c r="B1555" s="30" t="s">
        <v>2430</v>
      </c>
      <c r="C1555" s="30" t="s">
        <v>1623</v>
      </c>
      <c r="D1555" s="30">
        <v>180</v>
      </c>
      <c r="E1555" s="101"/>
      <c r="F1555" s="34">
        <f>0.55-0.175-0.03</f>
        <v>0.34500000000000008</v>
      </c>
    </row>
    <row r="1556" spans="2:6" x14ac:dyDescent="0.2">
      <c r="B1556" s="101" t="s">
        <v>2430</v>
      </c>
      <c r="C1556" s="30" t="s">
        <v>1623</v>
      </c>
      <c r="D1556" s="101">
        <v>170</v>
      </c>
      <c r="E1556" s="183"/>
      <c r="F1556" s="99">
        <v>0.13</v>
      </c>
    </row>
    <row r="1557" spans="2:6" x14ac:dyDescent="0.2">
      <c r="B1557" s="30" t="s">
        <v>2430</v>
      </c>
      <c r="C1557" s="30" t="s">
        <v>407</v>
      </c>
      <c r="D1557" s="30" t="s">
        <v>2667</v>
      </c>
      <c r="E1557" s="101"/>
      <c r="F1557" s="34">
        <f>1.252-0.202-0.396-0.078-0.19</f>
        <v>0.38600000000000007</v>
      </c>
    </row>
    <row r="1558" spans="2:6" x14ac:dyDescent="0.2">
      <c r="B1558" s="30" t="s">
        <v>2430</v>
      </c>
      <c r="C1558" s="30" t="s">
        <v>407</v>
      </c>
      <c r="D1558" s="30">
        <v>250</v>
      </c>
      <c r="E1558" s="101"/>
      <c r="F1558" s="34">
        <f>1.286+1.248+1.244+1.25+1.28+1.278+1.326-1.28+1.536+1.594-1.28-1.286-1.25-1.326-1.248-1.594-1.286-0.916-0.33</f>
        <v>0.24600000000000039</v>
      </c>
    </row>
    <row r="1559" spans="2:6" x14ac:dyDescent="0.2">
      <c r="B1559" s="101" t="s">
        <v>2430</v>
      </c>
      <c r="C1559" s="30" t="s">
        <v>1725</v>
      </c>
      <c r="D1559" s="101">
        <v>320</v>
      </c>
      <c r="E1559" s="183"/>
      <c r="F1559" s="99">
        <v>0.43</v>
      </c>
    </row>
    <row r="1560" spans="2:6" x14ac:dyDescent="0.2">
      <c r="B1560" s="101" t="s">
        <v>2430</v>
      </c>
      <c r="C1560" s="30" t="s">
        <v>1725</v>
      </c>
      <c r="D1560" s="101">
        <v>330</v>
      </c>
      <c r="E1560" s="183"/>
      <c r="F1560" s="99" t="s">
        <v>1737</v>
      </c>
    </row>
    <row r="1561" spans="2:6" x14ac:dyDescent="0.2">
      <c r="B1561" s="30" t="s">
        <v>2430</v>
      </c>
      <c r="C1561" s="30" t="s">
        <v>492</v>
      </c>
      <c r="D1561" s="30">
        <v>280</v>
      </c>
      <c r="E1561" s="101"/>
      <c r="F1561" s="34">
        <v>0.53</v>
      </c>
    </row>
    <row r="1562" spans="2:6" x14ac:dyDescent="0.2">
      <c r="B1562" s="30" t="s">
        <v>2430</v>
      </c>
      <c r="C1562" s="30" t="s">
        <v>492</v>
      </c>
      <c r="D1562" s="30">
        <v>300</v>
      </c>
      <c r="E1562" s="101"/>
      <c r="F1562" s="34">
        <v>0.61399999999999999</v>
      </c>
    </row>
    <row r="1563" spans="2:6" x14ac:dyDescent="0.2">
      <c r="B1563" s="101" t="s">
        <v>2430</v>
      </c>
      <c r="C1563" s="30" t="s">
        <v>492</v>
      </c>
      <c r="D1563" s="101">
        <v>220</v>
      </c>
      <c r="E1563" s="25"/>
      <c r="F1563" s="99">
        <v>0.2</v>
      </c>
    </row>
    <row r="1564" spans="2:6" x14ac:dyDescent="0.2">
      <c r="B1564" s="101" t="s">
        <v>2430</v>
      </c>
      <c r="C1564" s="30" t="s">
        <v>492</v>
      </c>
      <c r="D1564" s="101">
        <v>280</v>
      </c>
      <c r="E1564" s="25"/>
      <c r="F1564" s="99">
        <v>0.05</v>
      </c>
    </row>
    <row r="1565" spans="2:6" x14ac:dyDescent="0.2">
      <c r="B1565" s="101" t="s">
        <v>2430</v>
      </c>
      <c r="C1565" s="184" t="s">
        <v>492</v>
      </c>
      <c r="D1565" s="101">
        <v>290</v>
      </c>
      <c r="E1565" s="183"/>
      <c r="F1565" s="99">
        <v>0.46</v>
      </c>
    </row>
    <row r="1566" spans="2:6" x14ac:dyDescent="0.2">
      <c r="B1566" s="101" t="s">
        <v>2430</v>
      </c>
      <c r="C1566" s="30" t="s">
        <v>492</v>
      </c>
      <c r="D1566" s="101">
        <v>300</v>
      </c>
      <c r="E1566" s="183"/>
      <c r="F1566" s="99">
        <v>3.52</v>
      </c>
    </row>
    <row r="1567" spans="2:6" x14ac:dyDescent="0.2">
      <c r="B1567" s="101" t="s">
        <v>2430</v>
      </c>
      <c r="C1567" s="30" t="s">
        <v>492</v>
      </c>
      <c r="D1567" s="101">
        <v>300</v>
      </c>
      <c r="E1567" s="25"/>
      <c r="F1567" s="99">
        <v>4.5999999999999996</v>
      </c>
    </row>
    <row r="1568" spans="2:6" x14ac:dyDescent="0.2">
      <c r="B1568" s="101" t="s">
        <v>2430</v>
      </c>
      <c r="C1568" s="30" t="s">
        <v>492</v>
      </c>
      <c r="D1568" s="101">
        <v>300</v>
      </c>
      <c r="E1568" s="25"/>
      <c r="F1568" s="99">
        <v>1.1000000000000001</v>
      </c>
    </row>
    <row r="1569" spans="2:6" x14ac:dyDescent="0.2">
      <c r="B1569" s="101" t="s">
        <v>2430</v>
      </c>
      <c r="C1569" s="30" t="s">
        <v>492</v>
      </c>
      <c r="D1569" s="101">
        <v>300</v>
      </c>
      <c r="E1569" s="25"/>
      <c r="F1569" s="99">
        <f>0.44+0.44</f>
        <v>0.88</v>
      </c>
    </row>
    <row r="1570" spans="2:6" x14ac:dyDescent="0.2">
      <c r="B1570" s="101" t="s">
        <v>2430</v>
      </c>
      <c r="C1570" s="30" t="s">
        <v>492</v>
      </c>
      <c r="D1570" s="101">
        <v>300</v>
      </c>
      <c r="E1570" s="25"/>
      <c r="F1570" s="99">
        <v>0.4</v>
      </c>
    </row>
    <row r="1571" spans="2:6" x14ac:dyDescent="0.2">
      <c r="B1571" s="101" t="s">
        <v>2430</v>
      </c>
      <c r="C1571" s="30" t="s">
        <v>492</v>
      </c>
      <c r="D1571" s="101">
        <v>310</v>
      </c>
      <c r="E1571" s="25"/>
      <c r="F1571" s="99">
        <v>0.41</v>
      </c>
    </row>
    <row r="1572" spans="2:6" x14ac:dyDescent="0.2">
      <c r="B1572" s="101" t="s">
        <v>2430</v>
      </c>
      <c r="C1572" s="30" t="s">
        <v>492</v>
      </c>
      <c r="D1572" s="101">
        <v>320</v>
      </c>
      <c r="E1572" s="183"/>
      <c r="F1572" s="99">
        <f>4.29+0.53</f>
        <v>4.82</v>
      </c>
    </row>
    <row r="1573" spans="2:6" x14ac:dyDescent="0.2">
      <c r="B1573" s="101" t="s">
        <v>2430</v>
      </c>
      <c r="C1573" s="30" t="s">
        <v>492</v>
      </c>
      <c r="D1573" s="101">
        <v>320</v>
      </c>
      <c r="E1573" s="183"/>
      <c r="F1573" s="99"/>
    </row>
    <row r="1574" spans="2:6" x14ac:dyDescent="0.2">
      <c r="B1574" s="101" t="s">
        <v>2430</v>
      </c>
      <c r="C1574" s="30" t="s">
        <v>492</v>
      </c>
      <c r="D1574" s="101">
        <v>320</v>
      </c>
      <c r="E1574" s="183"/>
      <c r="F1574" s="99">
        <f>0.1+1.04</f>
        <v>1.1400000000000001</v>
      </c>
    </row>
    <row r="1575" spans="2:6" x14ac:dyDescent="0.2">
      <c r="B1575" s="101" t="s">
        <v>2430</v>
      </c>
      <c r="C1575" s="30" t="s">
        <v>492</v>
      </c>
      <c r="D1575" s="101">
        <v>320</v>
      </c>
      <c r="E1575" s="183"/>
      <c r="F1575" s="99">
        <v>0.7</v>
      </c>
    </row>
    <row r="1576" spans="2:6" x14ac:dyDescent="0.2">
      <c r="B1576" s="101" t="s">
        <v>2430</v>
      </c>
      <c r="C1576" s="30" t="s">
        <v>492</v>
      </c>
      <c r="D1576" s="101">
        <v>320</v>
      </c>
      <c r="E1576" s="183"/>
      <c r="F1576" s="99">
        <v>0.56999999999999995</v>
      </c>
    </row>
    <row r="1577" spans="2:6" x14ac:dyDescent="0.2">
      <c r="B1577" s="101" t="s">
        <v>2430</v>
      </c>
      <c r="C1577" s="30" t="s">
        <v>492</v>
      </c>
      <c r="D1577" s="101">
        <v>330</v>
      </c>
      <c r="E1577" s="183"/>
      <c r="F1577" s="99">
        <f>1.37+0.18</f>
        <v>1.55</v>
      </c>
    </row>
    <row r="1578" spans="2:6" x14ac:dyDescent="0.2">
      <c r="B1578" s="101" t="s">
        <v>2430</v>
      </c>
      <c r="C1578" s="30" t="s">
        <v>492</v>
      </c>
      <c r="D1578" s="101">
        <v>330</v>
      </c>
      <c r="E1578" s="183"/>
      <c r="F1578" s="99">
        <v>1.4</v>
      </c>
    </row>
    <row r="1579" spans="2:6" x14ac:dyDescent="0.2">
      <c r="B1579" s="101" t="s">
        <v>2430</v>
      </c>
      <c r="C1579" s="30" t="s">
        <v>492</v>
      </c>
      <c r="D1579" s="101" t="s">
        <v>2492</v>
      </c>
      <c r="E1579" s="25"/>
      <c r="F1579" s="99">
        <v>0.36</v>
      </c>
    </row>
    <row r="1580" spans="2:6" x14ac:dyDescent="0.2">
      <c r="B1580" s="101" t="s">
        <v>2430</v>
      </c>
      <c r="C1580" s="30" t="s">
        <v>492</v>
      </c>
      <c r="D1580" s="101">
        <v>350</v>
      </c>
      <c r="E1580" s="183"/>
      <c r="F1580" s="99">
        <f>4.155+1.62</f>
        <v>5.7750000000000004</v>
      </c>
    </row>
    <row r="1581" spans="2:6" x14ac:dyDescent="0.2">
      <c r="B1581" s="30" t="s">
        <v>2430</v>
      </c>
      <c r="C1581" s="30" t="s">
        <v>406</v>
      </c>
      <c r="D1581" s="30">
        <v>260</v>
      </c>
      <c r="E1581" s="101"/>
      <c r="F1581" s="34">
        <f>0.21+0.33-0.312</f>
        <v>0.22800000000000004</v>
      </c>
    </row>
    <row r="1582" spans="2:6" x14ac:dyDescent="0.2">
      <c r="B1582" s="30" t="s">
        <v>2430</v>
      </c>
      <c r="C1582" s="30" t="s">
        <v>406</v>
      </c>
      <c r="D1582" s="30">
        <v>280</v>
      </c>
      <c r="E1582" s="101"/>
      <c r="F1582" s="34">
        <v>0.45</v>
      </c>
    </row>
    <row r="1583" spans="2:6" x14ac:dyDescent="0.2">
      <c r="B1583" s="30" t="s">
        <v>2430</v>
      </c>
      <c r="C1583" s="30" t="s">
        <v>406</v>
      </c>
      <c r="D1583" s="30">
        <v>280</v>
      </c>
      <c r="E1583" s="101"/>
      <c r="F1583" s="99">
        <f>0.35+0.2</f>
        <v>0.55000000000000004</v>
      </c>
    </row>
    <row r="1584" spans="2:6" x14ac:dyDescent="0.2">
      <c r="B1584" s="30" t="s">
        <v>2430</v>
      </c>
      <c r="C1584" s="30" t="s">
        <v>406</v>
      </c>
      <c r="D1584" s="30">
        <v>300</v>
      </c>
      <c r="E1584" s="101"/>
      <c r="F1584" s="99">
        <v>0.25</v>
      </c>
    </row>
    <row r="1585" spans="2:6" x14ac:dyDescent="0.2">
      <c r="B1585" s="101" t="s">
        <v>2430</v>
      </c>
      <c r="C1585" s="30" t="s">
        <v>406</v>
      </c>
      <c r="D1585" s="101">
        <v>300</v>
      </c>
      <c r="E1585" s="183"/>
      <c r="F1585" s="99">
        <f>1.44+0.64</f>
        <v>2.08</v>
      </c>
    </row>
    <row r="1586" spans="2:6" x14ac:dyDescent="0.2">
      <c r="B1586" s="101" t="s">
        <v>2430</v>
      </c>
      <c r="C1586" s="30" t="s">
        <v>406</v>
      </c>
      <c r="D1586" s="101">
        <v>300</v>
      </c>
      <c r="E1586" s="183"/>
      <c r="F1586" s="99">
        <v>0.82</v>
      </c>
    </row>
    <row r="1587" spans="2:6" x14ac:dyDescent="0.2">
      <c r="B1587" s="101" t="s">
        <v>2430</v>
      </c>
      <c r="C1587" s="30" t="s">
        <v>406</v>
      </c>
      <c r="D1587" s="101">
        <v>320</v>
      </c>
      <c r="E1587" s="25"/>
      <c r="F1587" s="99">
        <v>3.78</v>
      </c>
    </row>
    <row r="1588" spans="2:6" x14ac:dyDescent="0.2">
      <c r="B1588" s="101" t="s">
        <v>2430</v>
      </c>
      <c r="C1588" s="30" t="s">
        <v>406</v>
      </c>
      <c r="D1588" s="101">
        <v>330</v>
      </c>
      <c r="E1588" s="183"/>
      <c r="F1588" s="99">
        <v>0.1</v>
      </c>
    </row>
    <row r="1589" spans="2:6" x14ac:dyDescent="0.2">
      <c r="B1589" s="101" t="s">
        <v>2430</v>
      </c>
      <c r="C1589" s="30" t="s">
        <v>406</v>
      </c>
      <c r="D1589" s="101">
        <v>350</v>
      </c>
      <c r="E1589" s="25"/>
      <c r="F1589" s="99">
        <v>4.7699999999999996</v>
      </c>
    </row>
    <row r="1590" spans="2:6" x14ac:dyDescent="0.2">
      <c r="B1590" s="101" t="s">
        <v>2430</v>
      </c>
      <c r="C1590" s="30" t="s">
        <v>406</v>
      </c>
      <c r="D1590" s="101">
        <v>350</v>
      </c>
      <c r="E1590" s="183"/>
      <c r="F1590" s="99">
        <f>0.31+0.48</f>
        <v>0.79</v>
      </c>
    </row>
    <row r="1591" spans="2:6" x14ac:dyDescent="0.2">
      <c r="B1591" s="101" t="s">
        <v>2430</v>
      </c>
      <c r="C1591" s="30" t="s">
        <v>406</v>
      </c>
      <c r="D1591" s="101">
        <v>350</v>
      </c>
      <c r="E1591" s="183"/>
      <c r="F1591" s="99">
        <v>0.255</v>
      </c>
    </row>
    <row r="1592" spans="2:6" x14ac:dyDescent="0.2">
      <c r="B1592" s="30" t="s">
        <v>2430</v>
      </c>
      <c r="C1592" s="30" t="s">
        <v>408</v>
      </c>
      <c r="D1592" s="30">
        <v>250</v>
      </c>
      <c r="E1592" s="101"/>
      <c r="F1592" s="99">
        <f>1.024-0.068-(0.012)</f>
        <v>0.94399999999999995</v>
      </c>
    </row>
    <row r="1593" spans="2:6" x14ac:dyDescent="0.2">
      <c r="B1593" s="30" t="s">
        <v>2430</v>
      </c>
      <c r="C1593" s="30" t="s">
        <v>408</v>
      </c>
      <c r="D1593" s="30">
        <v>350</v>
      </c>
      <c r="E1593" s="101"/>
      <c r="F1593" s="34">
        <v>0.20200000000000001</v>
      </c>
    </row>
    <row r="1594" spans="2:6" x14ac:dyDescent="0.2">
      <c r="B1594" s="30" t="s">
        <v>2430</v>
      </c>
      <c r="C1594" s="30" t="s">
        <v>408</v>
      </c>
      <c r="D1594" s="30">
        <v>470</v>
      </c>
      <c r="E1594" s="101"/>
      <c r="F1594" s="99">
        <v>0.72</v>
      </c>
    </row>
    <row r="1595" spans="2:6" x14ac:dyDescent="0.2">
      <c r="B1595" s="30" t="s">
        <v>2430</v>
      </c>
      <c r="C1595" s="30" t="s">
        <v>408</v>
      </c>
      <c r="D1595" s="30">
        <v>480</v>
      </c>
      <c r="E1595" s="101"/>
      <c r="F1595" s="99">
        <v>0.72</v>
      </c>
    </row>
    <row r="1596" spans="2:6" x14ac:dyDescent="0.2">
      <c r="B1596" s="30" t="s">
        <v>2430</v>
      </c>
      <c r="C1596" s="30" t="s">
        <v>408</v>
      </c>
      <c r="D1596" s="165" t="s">
        <v>2668</v>
      </c>
      <c r="E1596" s="101"/>
      <c r="F1596" s="99">
        <f>13.4-3.15-8.66</f>
        <v>1.5899999999999999</v>
      </c>
    </row>
    <row r="1597" spans="2:6" x14ac:dyDescent="0.2">
      <c r="B1597" s="30" t="s">
        <v>2430</v>
      </c>
      <c r="C1597" s="30" t="s">
        <v>408</v>
      </c>
      <c r="D1597" s="30">
        <v>980</v>
      </c>
      <c r="E1597" s="101"/>
      <c r="F1597" s="99">
        <v>1.296</v>
      </c>
    </row>
    <row r="1598" spans="2:6" x14ac:dyDescent="0.2">
      <c r="B1598" s="30" t="s">
        <v>2430</v>
      </c>
      <c r="C1598" s="30" t="s">
        <v>408</v>
      </c>
      <c r="D1598" s="165">
        <v>1120</v>
      </c>
      <c r="E1598" s="101"/>
      <c r="F1598" s="34">
        <f>1.54-1.54+(1.138)</f>
        <v>1.1379999999999999</v>
      </c>
    </row>
    <row r="1599" spans="2:6" x14ac:dyDescent="0.2">
      <c r="B1599" s="101" t="s">
        <v>2430</v>
      </c>
      <c r="C1599" s="30" t="s">
        <v>1673</v>
      </c>
      <c r="D1599" s="101" t="s">
        <v>2469</v>
      </c>
      <c r="E1599" s="183"/>
      <c r="F1599" s="99">
        <v>0.98</v>
      </c>
    </row>
    <row r="1600" spans="2:6" x14ac:dyDescent="0.2">
      <c r="B1600" s="101" t="s">
        <v>2430</v>
      </c>
      <c r="C1600" s="30" t="s">
        <v>1673</v>
      </c>
      <c r="D1600" s="101" t="s">
        <v>2469</v>
      </c>
      <c r="E1600" s="183"/>
      <c r="F1600" s="99">
        <v>0.99</v>
      </c>
    </row>
    <row r="1601" spans="2:6" x14ac:dyDescent="0.2">
      <c r="B1601" s="30" t="s">
        <v>2430</v>
      </c>
      <c r="C1601" s="30" t="s">
        <v>1199</v>
      </c>
      <c r="D1601" s="30">
        <v>320</v>
      </c>
      <c r="E1601" s="101"/>
      <c r="F1601" s="34">
        <f>0.54+0.68</f>
        <v>1.2200000000000002</v>
      </c>
    </row>
    <row r="1602" spans="2:6" x14ac:dyDescent="0.2">
      <c r="B1602" s="101" t="s">
        <v>2430</v>
      </c>
      <c r="C1602" s="30" t="s">
        <v>1715</v>
      </c>
      <c r="D1602" s="101">
        <v>330</v>
      </c>
      <c r="E1602" s="183"/>
      <c r="F1602" s="99">
        <v>0.09</v>
      </c>
    </row>
    <row r="1603" spans="2:6" x14ac:dyDescent="0.2">
      <c r="B1603" s="30" t="s">
        <v>2430</v>
      </c>
      <c r="C1603" s="30" t="s">
        <v>323</v>
      </c>
      <c r="D1603" s="30" t="s">
        <v>2431</v>
      </c>
      <c r="E1603" s="101" t="s">
        <v>641</v>
      </c>
      <c r="F1603" s="99">
        <f>1.908-0.286-0.264-0.032-0.008-0.334</f>
        <v>0.98399999999999976</v>
      </c>
    </row>
    <row r="1604" spans="2:6" x14ac:dyDescent="0.2">
      <c r="B1604" s="30" t="s">
        <v>2430</v>
      </c>
      <c r="C1604" s="30" t="s">
        <v>323</v>
      </c>
      <c r="D1604" s="30" t="s">
        <v>2613</v>
      </c>
      <c r="E1604" s="101">
        <v>4.42</v>
      </c>
      <c r="F1604" s="99">
        <f>2.84-0.97-0.915-0.08-0.034-0.841+2.594-0.052-0.168-0.016</f>
        <v>2.3579999999999997</v>
      </c>
    </row>
    <row r="1605" spans="2:6" x14ac:dyDescent="0.2">
      <c r="B1605" s="30" t="s">
        <v>2430</v>
      </c>
      <c r="C1605" s="30" t="s">
        <v>323</v>
      </c>
      <c r="D1605" s="30" t="s">
        <v>2455</v>
      </c>
      <c r="E1605" s="101">
        <v>2.95</v>
      </c>
      <c r="F1605" s="99">
        <f>2.53-0.434+0.808-0.35-0.095-0.066-0.098-0.795-0.292+2.798-0.128-0.612-0.116-0.6-0.316-0.512</f>
        <v>1.722</v>
      </c>
    </row>
    <row r="1606" spans="2:6" x14ac:dyDescent="0.2">
      <c r="B1606" s="30" t="s">
        <v>2430</v>
      </c>
      <c r="C1606" s="30" t="s">
        <v>323</v>
      </c>
      <c r="D1606" s="30" t="s">
        <v>2459</v>
      </c>
      <c r="E1606" s="101">
        <v>4.6399999999999997</v>
      </c>
      <c r="F1606" s="99">
        <f>4.818-0.038-0.29</f>
        <v>4.4899999999999993</v>
      </c>
    </row>
    <row r="1607" spans="2:6" x14ac:dyDescent="0.2">
      <c r="B1607" s="30" t="s">
        <v>2430</v>
      </c>
      <c r="C1607" s="30" t="s">
        <v>323</v>
      </c>
      <c r="D1607" s="30" t="s">
        <v>2470</v>
      </c>
      <c r="E1607" s="101" t="s">
        <v>2698</v>
      </c>
      <c r="F1607" s="99">
        <f>5.138-3.35-1.788+4.388-0.336-0.004-1.368+3.122-0.336</f>
        <v>5.4659999999999993</v>
      </c>
    </row>
    <row r="1608" spans="2:6" x14ac:dyDescent="0.2">
      <c r="B1608" s="30" t="s">
        <v>2430</v>
      </c>
      <c r="C1608" s="30" t="s">
        <v>323</v>
      </c>
      <c r="D1608" s="30">
        <v>305</v>
      </c>
      <c r="E1608" s="101"/>
      <c r="F1608" s="99">
        <v>0.2495</v>
      </c>
    </row>
    <row r="1609" spans="2:6" x14ac:dyDescent="0.2">
      <c r="B1609" s="30" t="s">
        <v>2430</v>
      </c>
      <c r="C1609" s="30" t="s">
        <v>686</v>
      </c>
      <c r="D1609" s="30">
        <v>180</v>
      </c>
      <c r="E1609" s="101">
        <v>1.74</v>
      </c>
      <c r="F1609" s="99">
        <f>0.355+0.36+0.43-0.43</f>
        <v>0.71500000000000008</v>
      </c>
    </row>
    <row r="1610" spans="2:6" x14ac:dyDescent="0.2">
      <c r="B1610" s="30" t="s">
        <v>2430</v>
      </c>
      <c r="C1610" s="30" t="s">
        <v>686</v>
      </c>
      <c r="D1610" s="30" t="s">
        <v>2616</v>
      </c>
      <c r="E1610" s="101">
        <v>4.68</v>
      </c>
      <c r="F1610" s="99">
        <f>2.404-0.122-0.51-0.086-0.056-0.528-0.252</f>
        <v>0.84999999999999987</v>
      </c>
    </row>
    <row r="1611" spans="2:6" x14ac:dyDescent="0.2">
      <c r="B1611" s="30" t="s">
        <v>2430</v>
      </c>
      <c r="C1611" s="30" t="s">
        <v>686</v>
      </c>
      <c r="D1611" s="30" t="s">
        <v>2617</v>
      </c>
      <c r="E1611" s="101">
        <v>5.42</v>
      </c>
      <c r="F1611" s="34">
        <f>3.576-0.89-0.072-0.678</f>
        <v>1.9359999999999999</v>
      </c>
    </row>
    <row r="1612" spans="2:6" x14ac:dyDescent="0.2">
      <c r="B1612" s="30" t="s">
        <v>2430</v>
      </c>
      <c r="C1612" s="30" t="s">
        <v>686</v>
      </c>
      <c r="D1612" s="30">
        <v>250</v>
      </c>
      <c r="E1612" s="101">
        <v>1.61</v>
      </c>
      <c r="F1612" s="34">
        <f>3.31-0.748-0.05-0.462+2.09-2.1-1.188+2.07-0.13-0.872-0.395+1.57-0.392-0.458-0.152-1.565+1.69-1.7-0.574+(0.056)+2.23+2.19-0.392-0.212-0.648-0.058-0.852-0.456-0.382-0.054-0.128-(0.052)-0.082</f>
        <v>1.1039999999999994</v>
      </c>
    </row>
    <row r="1613" spans="2:6" x14ac:dyDescent="0.2">
      <c r="B1613" s="30" t="s">
        <v>2430</v>
      </c>
      <c r="C1613" s="30" t="s">
        <v>686</v>
      </c>
      <c r="D1613" s="30" t="s">
        <v>2618</v>
      </c>
      <c r="E1613" s="101">
        <v>3.65</v>
      </c>
      <c r="F1613" s="34">
        <f>4.43+3.01-0.096-1.51-0.074-0.06</f>
        <v>5.7</v>
      </c>
    </row>
    <row r="1614" spans="2:6" x14ac:dyDescent="0.2">
      <c r="B1614" s="30" t="s">
        <v>2430</v>
      </c>
      <c r="C1614" s="30" t="s">
        <v>686</v>
      </c>
      <c r="D1614" s="30" t="s">
        <v>2619</v>
      </c>
      <c r="E1614" s="101"/>
      <c r="F1614" s="34">
        <f>2.111-1.2-0.12-0.054-0.436</f>
        <v>0.30100000000000021</v>
      </c>
    </row>
    <row r="1615" spans="2:6" x14ac:dyDescent="0.2">
      <c r="B1615" s="30" t="s">
        <v>2430</v>
      </c>
      <c r="C1615" s="30" t="s">
        <v>686</v>
      </c>
      <c r="D1615" s="30" t="s">
        <v>2620</v>
      </c>
      <c r="E1615" s="101">
        <v>1.48</v>
      </c>
      <c r="F1615" s="34">
        <f>2.144-0.31-0.464-0.69</f>
        <v>0.68000000000000016</v>
      </c>
    </row>
    <row r="1616" spans="2:6" x14ac:dyDescent="0.2">
      <c r="B1616" s="30" t="s">
        <v>2430</v>
      </c>
      <c r="C1616" s="30" t="s">
        <v>686</v>
      </c>
      <c r="D1616" s="30" t="s">
        <v>2621</v>
      </c>
      <c r="E1616" s="101">
        <v>4.8899999999999997</v>
      </c>
      <c r="F1616" s="34">
        <f>5.022-0.062-0.084-0.982-1.414-0.05</f>
        <v>2.4300000000000006</v>
      </c>
    </row>
    <row r="1617" spans="2:6" x14ac:dyDescent="0.2">
      <c r="B1617" s="30" t="s">
        <v>2430</v>
      </c>
      <c r="C1617" s="30" t="s">
        <v>686</v>
      </c>
      <c r="D1617" s="30" t="s">
        <v>2622</v>
      </c>
      <c r="E1617" s="101">
        <v>2.58</v>
      </c>
      <c r="F1617" s="34">
        <f>5.716-0.166-0.044-0.758-0.452</f>
        <v>4.2960000000000003</v>
      </c>
    </row>
    <row r="1618" spans="2:6" x14ac:dyDescent="0.2">
      <c r="B1618" s="30" t="s">
        <v>2430</v>
      </c>
      <c r="C1618" s="30" t="s">
        <v>686</v>
      </c>
      <c r="D1618" s="30">
        <v>320</v>
      </c>
      <c r="E1618" s="101">
        <v>4.25</v>
      </c>
      <c r="F1618" s="34">
        <f>4.11-1.15-0.11-1.268-0.826-0.756+4.61-0.734-0.29-0.048-0.2-0.082-0.334-0.32-0.694-0.7-0.272+3.88-1.09-0.272-0.14-0.098-0.06-1.07-0.076</f>
        <v>2.0100000000000002</v>
      </c>
    </row>
    <row r="1619" spans="2:6" x14ac:dyDescent="0.2">
      <c r="B1619" s="30" t="s">
        <v>2430</v>
      </c>
      <c r="C1619" s="30" t="s">
        <v>686</v>
      </c>
      <c r="D1619" s="30">
        <v>330</v>
      </c>
      <c r="E1619" s="101">
        <v>1.86</v>
      </c>
      <c r="F1619" s="34">
        <f>3.9-0.054-0.565-0.85-0.08-0.998-0.074</f>
        <v>1.2789999999999999</v>
      </c>
    </row>
    <row r="1620" spans="2:6" x14ac:dyDescent="0.2">
      <c r="B1620" s="30" t="s">
        <v>2430</v>
      </c>
      <c r="C1620" s="30" t="s">
        <v>686</v>
      </c>
      <c r="D1620" s="30">
        <v>340</v>
      </c>
      <c r="E1620" s="101">
        <v>3.41</v>
      </c>
      <c r="F1620" s="34">
        <f>3.81-1.2</f>
        <v>2.6100000000000003</v>
      </c>
    </row>
    <row r="1621" spans="2:6" x14ac:dyDescent="0.2">
      <c r="B1621" s="30" t="s">
        <v>2430</v>
      </c>
      <c r="C1621" s="30" t="s">
        <v>686</v>
      </c>
      <c r="D1621" s="30" t="s">
        <v>2497</v>
      </c>
      <c r="E1621" s="101" t="s">
        <v>2712</v>
      </c>
      <c r="F1621" s="34">
        <f>2.184+2.032+2.182+2.172+2.228+1.944+2.192+2.132+2.186+2.256-2.256+19.438-6.314-4.454-6.678-0.08-0.612+(6.642)-0.074-2.184+(3.762)-2.25-0.608-3.6-0.296-2.174-1.792-2.182-0.534-1.578-0.124-2.714-0.148-3.34-0.648-1.54-2.624</f>
        <v>2.5459999999999936</v>
      </c>
    </row>
    <row r="1622" spans="2:6" x14ac:dyDescent="0.2">
      <c r="B1622" s="30" t="s">
        <v>2430</v>
      </c>
      <c r="C1622" s="30" t="s">
        <v>686</v>
      </c>
      <c r="D1622" s="30" t="s">
        <v>2623</v>
      </c>
      <c r="E1622" s="101">
        <v>2.37</v>
      </c>
      <c r="F1622" s="34">
        <f>4.043-1.532-0.542</f>
        <v>1.9690000000000001</v>
      </c>
    </row>
    <row r="1623" spans="2:6" x14ac:dyDescent="0.2">
      <c r="B1623" s="30" t="s">
        <v>2430</v>
      </c>
      <c r="C1623" s="30" t="s">
        <v>686</v>
      </c>
      <c r="D1623" s="30">
        <v>360</v>
      </c>
      <c r="E1623" s="101">
        <v>5.38</v>
      </c>
      <c r="F1623" s="34">
        <f>9.525-2.25-2.056-2.982-0.12</f>
        <v>2.117</v>
      </c>
    </row>
    <row r="1624" spans="2:6" x14ac:dyDescent="0.2">
      <c r="B1624" s="30" t="s">
        <v>2430</v>
      </c>
      <c r="C1624" s="30" t="s">
        <v>686</v>
      </c>
      <c r="D1624" s="30">
        <v>380</v>
      </c>
      <c r="E1624" s="101">
        <v>4.7699999999999996</v>
      </c>
      <c r="F1624" s="34">
        <f>5.36-0.532-0.188-0.1-0.29-0.366-0.11-0.034-1.422-0.976-0.166-0.332-0.082-0.238+4.68-0.28-0.1-0.54</f>
        <v>4.2840000000000016</v>
      </c>
    </row>
    <row r="1625" spans="2:6" x14ac:dyDescent="0.2">
      <c r="B1625" s="30" t="s">
        <v>2430</v>
      </c>
      <c r="C1625" s="30" t="s">
        <v>686</v>
      </c>
      <c r="D1625" s="30">
        <v>400</v>
      </c>
      <c r="E1625" s="101"/>
      <c r="F1625" s="34">
        <f>4.18-0.166-2.5-0.64+3.965-0.082-0.91-0.164-0.154-0.156-0.17-0.855-0.34-1.992-(0.016)+9.28-0.196-0.415-0.138-0.088-0.316-0.774-0.296-0.282-2.488-0.146-1.04-1.32</f>
        <v>1.7810000000000008</v>
      </c>
    </row>
    <row r="1626" spans="2:6" x14ac:dyDescent="0.2">
      <c r="B1626" s="30" t="s">
        <v>2430</v>
      </c>
      <c r="C1626" s="30" t="s">
        <v>686</v>
      </c>
      <c r="D1626" s="30">
        <v>430</v>
      </c>
      <c r="E1626" s="101"/>
      <c r="F1626" s="99">
        <f>4.46-0.316-0.16-0.586-0.15-0.24-0.234-2.774+(2.536)-0.59+5.18-0.836-0.772-0.834-0.116-0.284-0.394-1.208-0.228-0.194-0.216-1.37-0.35+4.04+(1.11)-1.98-2.066-0.182-0.416-0.138+4.55-0.158-0.136+3.74-0.246-0.248-0.168-0.362-1.138-0.206-0.392-0.548-1.266-0.65-0.334-0.52-0.284-0.866-0.576-0.464</f>
        <v>0.4199999999999991</v>
      </c>
    </row>
    <row r="1627" spans="2:6" x14ac:dyDescent="0.2">
      <c r="B1627" s="30" t="s">
        <v>2430</v>
      </c>
      <c r="C1627" s="30" t="s">
        <v>686</v>
      </c>
      <c r="D1627" s="30">
        <v>460</v>
      </c>
      <c r="E1627" s="101"/>
      <c r="F1627" s="99">
        <f>4.11-0.232-0.666-0.25-0.358-0.248-0.248-0.454-0.238-0.166-0.236-0.156-0.182-0.464</f>
        <v>0.21199999999999969</v>
      </c>
    </row>
    <row r="1628" spans="2:6" x14ac:dyDescent="0.2">
      <c r="B1628" s="30" t="s">
        <v>2430</v>
      </c>
      <c r="C1628" s="30" t="s">
        <v>686</v>
      </c>
      <c r="D1628" s="30">
        <v>550</v>
      </c>
      <c r="E1628" s="101"/>
      <c r="F1628" s="99">
        <f>3.99+3.95-0.234-0.542-0.256-0.496-0.492-0.09-1.692-0.226-0.352-0.722-0.38-0.786-0.684-0.296-(0.07)-0.4</f>
        <v>0.22200000000000097</v>
      </c>
    </row>
    <row r="1629" spans="2:6" x14ac:dyDescent="0.2">
      <c r="B1629" s="30" t="s">
        <v>2430</v>
      </c>
      <c r="C1629" s="30" t="s">
        <v>686</v>
      </c>
      <c r="D1629" s="30">
        <v>570</v>
      </c>
      <c r="E1629" s="101"/>
      <c r="F1629" s="99">
        <f>3.93+3.98-1.336-1.078-1.252-1.816</f>
        <v>2.4279999999999999</v>
      </c>
    </row>
    <row r="1630" spans="2:6" x14ac:dyDescent="0.2">
      <c r="B1630" s="30" t="s">
        <v>2430</v>
      </c>
      <c r="C1630" s="30" t="s">
        <v>686</v>
      </c>
      <c r="D1630" s="30" t="s">
        <v>595</v>
      </c>
      <c r="E1630" s="101" t="s">
        <v>2714</v>
      </c>
      <c r="F1630" s="34">
        <f>4.224-0.734+2.344-0.114-0.25-0.124-0.08+4.481-0.126-0.15-0.05-0.092-0.108-0.196-0.55-0.16-0.612-0.256-0.262-0.08-0.262-1.812-0.154-0.11-0.108-0.336-0.31-0.27-0.104+2.012-0.094-0.094-0.156</f>
        <v>5.3069999999999959</v>
      </c>
    </row>
    <row r="1631" spans="2:6" x14ac:dyDescent="0.2">
      <c r="B1631" s="30" t="s">
        <v>2430</v>
      </c>
      <c r="C1631" s="30" t="s">
        <v>686</v>
      </c>
      <c r="D1631" s="30" t="s">
        <v>2624</v>
      </c>
      <c r="E1631" s="101">
        <v>3.3</v>
      </c>
      <c r="F1631" s="34">
        <f>3.712-0.272-0.53-0.97+2.392-0.534-0.078-2.76-(0.082)-(0.072)-(0.048)-0.066+1.19-0.67</f>
        <v>1.2120000000000002</v>
      </c>
    </row>
    <row r="1632" spans="2:6" x14ac:dyDescent="0.2">
      <c r="B1632" s="30" t="s">
        <v>2430</v>
      </c>
      <c r="C1632" s="30" t="s">
        <v>686</v>
      </c>
      <c r="D1632" s="30" t="s">
        <v>2625</v>
      </c>
      <c r="E1632" s="101">
        <v>3.17</v>
      </c>
      <c r="F1632" s="34">
        <f>3.228-0.352-2.194-0.134-(0.046)+3.538-0.756-1.17-0.154-0.696-0.338-0.212+(0.696)-0.672-0.164-0.336+5.942-0.566-0.042-0.26-0.138-0.158-1.138-0.096-0.454-0.574-1.07-0.078-0.208-0.128+1.912-0.26-0.526-0.58+1.228-0.81</f>
        <v>2.2339999999999995</v>
      </c>
    </row>
    <row r="1633" spans="2:6" x14ac:dyDescent="0.2">
      <c r="B1633" s="30" t="s">
        <v>2430</v>
      </c>
      <c r="C1633" s="30" t="s">
        <v>686</v>
      </c>
      <c r="D1633" s="30" t="s">
        <v>2626</v>
      </c>
      <c r="E1633" s="101">
        <v>1.1000000000000001</v>
      </c>
      <c r="F1633" s="34">
        <f>1.254+1.222-0.192-0.066-0.12-0.188-0.252-0.1-0.118-0.848</f>
        <v>0.59199999999999997</v>
      </c>
    </row>
    <row r="1634" spans="2:6" x14ac:dyDescent="0.2">
      <c r="B1634" s="30" t="s">
        <v>2430</v>
      </c>
      <c r="C1634" s="30" t="s">
        <v>686</v>
      </c>
      <c r="D1634" s="30" t="s">
        <v>630</v>
      </c>
      <c r="E1634" s="101" t="s">
        <v>2715</v>
      </c>
      <c r="F1634" s="34">
        <f>3.119-0.072-0.314-0.138+1.518+2.288-1.338-0.15-0.662-0.206-0.394-0.23-0.078-0.228-0.14-0.326+3.101-0.466-0.1-0.25</f>
        <v>4.9339999999999984</v>
      </c>
    </row>
    <row r="1635" spans="2:6" x14ac:dyDescent="0.2">
      <c r="B1635" s="30" t="s">
        <v>2430</v>
      </c>
      <c r="C1635" s="30" t="s">
        <v>686</v>
      </c>
      <c r="D1635" s="30" t="s">
        <v>2627</v>
      </c>
      <c r="E1635" s="101">
        <v>1.1299999999999999</v>
      </c>
      <c r="F1635" s="34">
        <f>3.828-0.528-1.176-0.126-(0.314)-0.426-1.078+2.358-0.538-0.432-0.112-0.59</f>
        <v>0.86599999999999977</v>
      </c>
    </row>
    <row r="1636" spans="2:6" x14ac:dyDescent="0.2">
      <c r="B1636" s="30" t="s">
        <v>2430</v>
      </c>
      <c r="C1636" s="30" t="s">
        <v>686</v>
      </c>
      <c r="D1636" s="30" t="s">
        <v>2628</v>
      </c>
      <c r="E1636" s="101" t="s">
        <v>2716</v>
      </c>
      <c r="F1636" s="34">
        <f>4.018-1.114-0.892-0.262-0.874-0.404-0.412+5.816-0.786-0.394-0.14+6.353-1.34-0.812-0.186-0.19-1.01-0.522-0.194-0.65-0.114-(0.328)-1.014-0.508-1.196-0.254-0.306-(0.102)-0.274-0.65-0.446+2.16</f>
        <v>2.9729999999999999</v>
      </c>
    </row>
    <row r="1637" spans="2:6" x14ac:dyDescent="0.2">
      <c r="B1637" s="30" t="s">
        <v>2430</v>
      </c>
      <c r="C1637" s="30" t="s">
        <v>686</v>
      </c>
      <c r="D1637" s="30" t="s">
        <v>2629</v>
      </c>
      <c r="E1637" s="101"/>
      <c r="F1637" s="34">
        <f>(0.328)</f>
        <v>0.32800000000000001</v>
      </c>
    </row>
    <row r="1638" spans="2:6" x14ac:dyDescent="0.2">
      <c r="B1638" s="30" t="s">
        <v>2430</v>
      </c>
      <c r="C1638" s="30" t="s">
        <v>686</v>
      </c>
      <c r="D1638" s="30" t="s">
        <v>2630</v>
      </c>
      <c r="E1638" s="101" t="s">
        <v>2717</v>
      </c>
      <c r="F1638" s="34">
        <f>7.91-1.062-1.084-1.366-0.976-0.174-0.438-0.864-1.094+(1.094)-1.094+4.434-0.466</f>
        <v>4.8199999999999994</v>
      </c>
    </row>
    <row r="1639" spans="2:6" x14ac:dyDescent="0.2">
      <c r="B1639" s="101" t="s">
        <v>2430</v>
      </c>
      <c r="C1639" s="30" t="s">
        <v>686</v>
      </c>
      <c r="D1639" s="101" t="s">
        <v>2459</v>
      </c>
      <c r="E1639" s="25"/>
      <c r="F1639" s="99">
        <v>0.44</v>
      </c>
    </row>
    <row r="1640" spans="2:6" x14ac:dyDescent="0.2">
      <c r="B1640" s="101" t="s">
        <v>2430</v>
      </c>
      <c r="C1640" s="30" t="s">
        <v>686</v>
      </c>
      <c r="D1640" s="101">
        <v>340</v>
      </c>
      <c r="E1640" s="183"/>
      <c r="F1640" s="99">
        <v>1.24</v>
      </c>
    </row>
    <row r="1641" spans="2:6" x14ac:dyDescent="0.2">
      <c r="B1641" s="101" t="s">
        <v>2430</v>
      </c>
      <c r="C1641" s="30" t="s">
        <v>1720</v>
      </c>
      <c r="D1641" s="101">
        <v>320</v>
      </c>
      <c r="E1641" s="183"/>
      <c r="F1641" s="99">
        <v>1.47</v>
      </c>
    </row>
    <row r="1642" spans="2:6" x14ac:dyDescent="0.2">
      <c r="B1642" s="101" t="s">
        <v>2430</v>
      </c>
      <c r="C1642" s="30" t="s">
        <v>1747</v>
      </c>
      <c r="D1642" s="101" t="s">
        <v>2495</v>
      </c>
      <c r="E1642" s="183"/>
      <c r="F1642" s="99">
        <f>1.5-0.25</f>
        <v>1.25</v>
      </c>
    </row>
    <row r="1643" spans="2:6" x14ac:dyDescent="0.2">
      <c r="B1643" s="101" t="s">
        <v>2430</v>
      </c>
      <c r="C1643" s="30" t="s">
        <v>714</v>
      </c>
      <c r="D1643" s="101">
        <v>110</v>
      </c>
      <c r="E1643" s="25"/>
      <c r="F1643" s="99">
        <v>0.82</v>
      </c>
    </row>
    <row r="1644" spans="2:6" x14ac:dyDescent="0.2">
      <c r="B1644" s="101" t="s">
        <v>2430</v>
      </c>
      <c r="C1644" s="30" t="s">
        <v>714</v>
      </c>
      <c r="D1644" s="101">
        <v>120</v>
      </c>
      <c r="E1644" s="25"/>
      <c r="F1644" s="99">
        <f>0.9-0.115-0.175</f>
        <v>0.6100000000000001</v>
      </c>
    </row>
    <row r="1645" spans="2:6" x14ac:dyDescent="0.2">
      <c r="B1645" s="101" t="s">
        <v>2430</v>
      </c>
      <c r="C1645" s="30" t="s">
        <v>714</v>
      </c>
      <c r="D1645" s="101">
        <v>130</v>
      </c>
      <c r="E1645" s="25"/>
      <c r="F1645" s="99">
        <v>1.05</v>
      </c>
    </row>
    <row r="1646" spans="2:6" x14ac:dyDescent="0.2">
      <c r="B1646" s="101" t="s">
        <v>2430</v>
      </c>
      <c r="C1646" s="30" t="s">
        <v>714</v>
      </c>
      <c r="D1646" s="101">
        <v>190</v>
      </c>
      <c r="E1646" s="25"/>
      <c r="F1646" s="99">
        <v>0.22</v>
      </c>
    </row>
    <row r="1647" spans="2:6" x14ac:dyDescent="0.2">
      <c r="B1647" s="101" t="s">
        <v>2430</v>
      </c>
      <c r="C1647" s="30" t="s">
        <v>714</v>
      </c>
      <c r="D1647" s="101">
        <v>200</v>
      </c>
      <c r="E1647" s="183"/>
      <c r="F1647" s="99">
        <v>0.26</v>
      </c>
    </row>
    <row r="1648" spans="2:6" x14ac:dyDescent="0.2">
      <c r="B1648" s="101" t="s">
        <v>2430</v>
      </c>
      <c r="C1648" s="30" t="s">
        <v>714</v>
      </c>
      <c r="D1648" s="101">
        <v>240</v>
      </c>
      <c r="E1648" s="183"/>
      <c r="F1648" s="99">
        <v>0.36499999999999999</v>
      </c>
    </row>
    <row r="1649" spans="2:6" x14ac:dyDescent="0.2">
      <c r="B1649" s="101" t="s">
        <v>2430</v>
      </c>
      <c r="C1649" s="30" t="s">
        <v>714</v>
      </c>
      <c r="D1649" s="101">
        <v>350</v>
      </c>
      <c r="E1649" s="183"/>
      <c r="F1649" s="99">
        <v>1.37</v>
      </c>
    </row>
    <row r="1650" spans="2:6" x14ac:dyDescent="0.2">
      <c r="B1650" s="101" t="s">
        <v>2430</v>
      </c>
      <c r="C1650" s="30" t="s">
        <v>390</v>
      </c>
      <c r="D1650" s="101">
        <v>200</v>
      </c>
      <c r="E1650" s="183"/>
      <c r="F1650" s="99">
        <v>0.77</v>
      </c>
    </row>
    <row r="1651" spans="2:6" x14ac:dyDescent="0.2">
      <c r="B1651" s="101" t="s">
        <v>2430</v>
      </c>
      <c r="C1651" s="30" t="s">
        <v>390</v>
      </c>
      <c r="D1651" s="101" t="s">
        <v>2457</v>
      </c>
      <c r="E1651" s="25"/>
      <c r="F1651" s="99">
        <v>0.43</v>
      </c>
    </row>
    <row r="1652" spans="2:6" x14ac:dyDescent="0.2">
      <c r="B1652" s="30" t="s">
        <v>2430</v>
      </c>
      <c r="C1652" s="30" t="s">
        <v>389</v>
      </c>
      <c r="D1652" s="30" t="s">
        <v>2665</v>
      </c>
      <c r="E1652" s="101"/>
      <c r="F1652" s="99">
        <f>2.53+2.542-0.112</f>
        <v>4.9599999999999991</v>
      </c>
    </row>
    <row r="1653" spans="2:6" x14ac:dyDescent="0.2">
      <c r="B1653" s="30" t="s">
        <v>2430</v>
      </c>
      <c r="C1653" s="30" t="s">
        <v>367</v>
      </c>
      <c r="D1653" s="30">
        <v>280</v>
      </c>
      <c r="E1653" s="101">
        <v>2.5299999999999998</v>
      </c>
      <c r="F1653" s="34">
        <f>4.37-0.622-0.112-0.06-0.252-1.936-0.136-0.268-0.056-0.17+2.15-1.274-0.162</f>
        <v>1.4719999999999995</v>
      </c>
    </row>
    <row r="1654" spans="2:6" x14ac:dyDescent="0.2">
      <c r="B1654" s="30" t="s">
        <v>2430</v>
      </c>
      <c r="C1654" s="30" t="s">
        <v>367</v>
      </c>
      <c r="D1654" s="30">
        <v>300</v>
      </c>
      <c r="E1654" s="101">
        <v>4.6500000000000004</v>
      </c>
      <c r="F1654" s="99">
        <f>1.7-1.144-0.324+1.91-1.268-0.554-0.314-(0.006)+0.148-0.148+2.156+2.336+3.44-2.336+1.986-0.148-2.1-0.618-1.386-1.386+1.286-1.986-1.244+3.56-0.144-0.256-0.604-1.534-0.034-0.424-0.14-0.054-0.17-0.2+(0.04)+3.31-0.064-0.126-0.24-0.884-0.202-0.086-0.472-0.07-0.112+3.45-1.17-0.166-1.812-0.07-0.6-0.165-0.214+4.38-1.2+8.15-0.67-3.14-0.594-0.618-0.022-0.182-0.618+(0.041)-0.62-0.094</f>
        <v>5.1599999999999975</v>
      </c>
    </row>
    <row r="1655" spans="2:6" x14ac:dyDescent="0.2">
      <c r="B1655" s="30" t="s">
        <v>2430</v>
      </c>
      <c r="C1655" s="30" t="s">
        <v>367</v>
      </c>
      <c r="D1655" s="30">
        <v>320</v>
      </c>
      <c r="E1655" s="101"/>
      <c r="F1655" s="34">
        <f>4.365-0.5-0.182-0.308-0.302-1.75-(1.323)+3.735-2.055-0.072+4.76-0.132+4.14-0.182-2.12-0.142-0.048-0.64-0.204-0.148-0.852-0.072-1.082-1.576-0.108-0.28-2.078</f>
        <v>0.84400000000000164</v>
      </c>
    </row>
    <row r="1656" spans="2:6" x14ac:dyDescent="0.2">
      <c r="B1656" s="30" t="s">
        <v>2430</v>
      </c>
      <c r="C1656" s="30" t="s">
        <v>367</v>
      </c>
      <c r="D1656" s="30">
        <v>340</v>
      </c>
      <c r="E1656" s="101"/>
      <c r="F1656" s="34">
        <f>4.18-3.64+4.89-4.89-0.056-0.058</f>
        <v>0.42600000000000005</v>
      </c>
    </row>
    <row r="1657" spans="2:6" x14ac:dyDescent="0.2">
      <c r="B1657" s="30" t="s">
        <v>2430</v>
      </c>
      <c r="C1657" s="30" t="s">
        <v>367</v>
      </c>
      <c r="D1657" s="30">
        <v>350</v>
      </c>
      <c r="E1657" s="101"/>
      <c r="F1657" s="34">
        <f>4.43-2.656-0.242-0.864</f>
        <v>0.66799999999999959</v>
      </c>
    </row>
    <row r="1658" spans="2:6" x14ac:dyDescent="0.2">
      <c r="B1658" s="30" t="s">
        <v>2430</v>
      </c>
      <c r="C1658" s="30" t="s">
        <v>367</v>
      </c>
      <c r="D1658" s="30">
        <v>360</v>
      </c>
      <c r="E1658" s="101">
        <v>1.85</v>
      </c>
      <c r="F1658" s="34">
        <f>4.43-1.682-1.09-1.674+(0.016)+4.355-0.128-1.084-1.666-0.22+0.95-1.372-0.462-0.08-0.064+9.8-0.556-1.092-1.07-1.496-0.206-0.404-1.45-1.65-0.298-0.332-0.298+4.83-2.046+4.52-1.64-0.214-1.48-1.234</f>
        <v>3.9130000000000003</v>
      </c>
    </row>
    <row r="1659" spans="2:6" x14ac:dyDescent="0.2">
      <c r="B1659" s="30" t="s">
        <v>2430</v>
      </c>
      <c r="C1659" s="30" t="s">
        <v>367</v>
      </c>
      <c r="D1659" s="30">
        <v>370</v>
      </c>
      <c r="E1659" s="101">
        <v>3.67</v>
      </c>
      <c r="F1659" s="99">
        <f>3.88-1.05-1.535-0.885+4.09-0.422-0.55-0.416-0.468-2.226-0.418+4.81-1.748-1.574+5.05-1.784-1.488</f>
        <v>3.2660000000000005</v>
      </c>
    </row>
    <row r="1660" spans="2:6" x14ac:dyDescent="0.2">
      <c r="B1660" s="30" t="s">
        <v>2430</v>
      </c>
      <c r="C1660" s="30" t="s">
        <v>367</v>
      </c>
      <c r="D1660" s="30">
        <v>380</v>
      </c>
      <c r="E1660" s="101">
        <v>0.69</v>
      </c>
      <c r="F1660" s="34">
        <f>4.35-0.172-1.916-2.208+5.32-3.7-1.65-(0.024)+4.7-0.02-0.038-2.562+2.41-1.038-0.396-0.146-2.056-0.156</f>
        <v>0.69800000000000184</v>
      </c>
    </row>
    <row r="1661" spans="2:6" x14ac:dyDescent="0.2">
      <c r="B1661" s="30" t="s">
        <v>2430</v>
      </c>
      <c r="C1661" s="30" t="s">
        <v>367</v>
      </c>
      <c r="D1661" s="30">
        <v>400</v>
      </c>
      <c r="E1661" s="101"/>
      <c r="F1661" s="34">
        <f>0.275+0.275+0.256+0.26+0.262</f>
        <v>1.3280000000000001</v>
      </c>
    </row>
    <row r="1662" spans="2:6" x14ac:dyDescent="0.2">
      <c r="B1662" s="30" t="s">
        <v>2430</v>
      </c>
      <c r="C1662" s="30" t="s">
        <v>367</v>
      </c>
      <c r="D1662" s="30">
        <v>400</v>
      </c>
      <c r="E1662" s="101">
        <v>1.68</v>
      </c>
      <c r="F1662" s="99">
        <f>2.13-0.762-0.236+4.528+5.45-1.376+1.218-0.236-0.068-0.264-0.25-0.252-0.32-0.258-0.538-0.072-0.074-0.088-1.86-0.082-0.928-0.69+(0.416)-2.186-0.086-0.078-1.66-0.03-0.038-0.132-0.708+(0.708)+3.655-0.494-0.195+4.47-0.594-0.252-0.306-1.02-0.156-1.576-1.378-0.184-0.996</f>
        <v>2.1520000000000024</v>
      </c>
    </row>
    <row r="1663" spans="2:6" x14ac:dyDescent="0.2">
      <c r="B1663" s="30" t="s">
        <v>2430</v>
      </c>
      <c r="C1663" s="30" t="s">
        <v>367</v>
      </c>
      <c r="D1663" s="30">
        <v>400</v>
      </c>
      <c r="E1663" s="101">
        <v>3.86</v>
      </c>
      <c r="F1663" s="99">
        <f>4.64-0.594</f>
        <v>4.0459999999999994</v>
      </c>
    </row>
    <row r="1664" spans="2:6" x14ac:dyDescent="0.2">
      <c r="B1664" s="30" t="s">
        <v>2430</v>
      </c>
      <c r="C1664" s="30" t="s">
        <v>367</v>
      </c>
      <c r="D1664" s="30">
        <v>410</v>
      </c>
      <c r="E1664" s="101"/>
      <c r="F1664" s="34">
        <f>0.275+0.275+0.275+0.28+0.28+0.28+0.28+0.285+0.285+0.285+0.285+0.25+0.25+0.28+0.28+0.28+0.288+0.288-3.363</f>
        <v>1.6380000000000012</v>
      </c>
    </row>
    <row r="1665" spans="2:6" x14ac:dyDescent="0.2">
      <c r="B1665" s="30" t="s">
        <v>2430</v>
      </c>
      <c r="C1665" s="30" t="s">
        <v>367</v>
      </c>
      <c r="D1665" s="30">
        <v>420</v>
      </c>
      <c r="E1665" s="101">
        <v>1.83</v>
      </c>
      <c r="F1665" s="34">
        <f>6.24-2.046-0.706-0.116-0.464+1.9-0.102-0.06-0.694</f>
        <v>3.9520000000000008</v>
      </c>
    </row>
    <row r="1666" spans="2:6" x14ac:dyDescent="0.2">
      <c r="B1666" s="30" t="s">
        <v>2430</v>
      </c>
      <c r="C1666" s="30" t="s">
        <v>367</v>
      </c>
      <c r="D1666" s="30">
        <v>430</v>
      </c>
      <c r="E1666" s="101"/>
      <c r="F1666" s="34">
        <f>5.88-4.688-0.568-0.202</f>
        <v>0.42200000000000021</v>
      </c>
    </row>
    <row r="1667" spans="2:6" x14ac:dyDescent="0.2">
      <c r="B1667" s="30" t="s">
        <v>2430</v>
      </c>
      <c r="C1667" s="30" t="s">
        <v>367</v>
      </c>
      <c r="D1667" s="30">
        <v>450</v>
      </c>
      <c r="E1667" s="101">
        <v>1.84</v>
      </c>
      <c r="F1667" s="34">
        <f>5.95-0.154-1.304-0.212</f>
        <v>4.28</v>
      </c>
    </row>
    <row r="1668" spans="2:6" x14ac:dyDescent="0.2">
      <c r="B1668" s="30" t="s">
        <v>2430</v>
      </c>
      <c r="C1668" s="30" t="s">
        <v>367</v>
      </c>
      <c r="D1668" s="30">
        <v>480</v>
      </c>
      <c r="E1668" s="101">
        <v>1.06</v>
      </c>
      <c r="F1668" s="34">
        <f>5.61-3.616-0.406+5.4-0.47-1.076-2.356</f>
        <v>3.0860000000000003</v>
      </c>
    </row>
    <row r="1669" spans="2:6" x14ac:dyDescent="0.2">
      <c r="B1669" s="30" t="s">
        <v>2430</v>
      </c>
      <c r="C1669" s="30" t="s">
        <v>367</v>
      </c>
      <c r="D1669" s="165">
        <v>500</v>
      </c>
      <c r="E1669" s="101">
        <v>1.85</v>
      </c>
      <c r="F1669" s="99">
        <f>2.79-2.79+3.975-3.136-0.128-0.246-0.32-0.13-(0.015)+4.12-1.18-0.238-0.182-0.104-0.108-0.3-2.008+5.595-1.148-0.13-1.495-0.225-0.234-2.044+4.7-1.6+0.83-0.83-0.146</f>
        <v>3.2730000000000006</v>
      </c>
    </row>
    <row r="1670" spans="2:6" x14ac:dyDescent="0.2">
      <c r="B1670" s="30" t="s">
        <v>2430</v>
      </c>
      <c r="C1670" s="30" t="s">
        <v>367</v>
      </c>
      <c r="D1670" s="165">
        <v>550</v>
      </c>
      <c r="E1670" s="101">
        <v>4.45</v>
      </c>
      <c r="F1670" s="34">
        <v>8.44</v>
      </c>
    </row>
    <row r="1671" spans="2:6" x14ac:dyDescent="0.2">
      <c r="B1671" s="30" t="s">
        <v>2430</v>
      </c>
      <c r="C1671" s="30" t="s">
        <v>367</v>
      </c>
      <c r="D1671" s="165">
        <v>560</v>
      </c>
      <c r="E1671" s="101"/>
      <c r="F1671" s="34">
        <f>0.94-0.254</f>
        <v>0.68599999999999994</v>
      </c>
    </row>
    <row r="1672" spans="2:6" x14ac:dyDescent="0.2">
      <c r="B1672" s="30" t="s">
        <v>2430</v>
      </c>
      <c r="C1672" s="30" t="s">
        <v>367</v>
      </c>
      <c r="D1672" s="30">
        <v>570</v>
      </c>
      <c r="E1672" s="101">
        <v>1.02</v>
      </c>
      <c r="F1672" s="34">
        <f>7.12-1.546-0.112-1.746-0.308</f>
        <v>3.4079999999999999</v>
      </c>
    </row>
    <row r="1673" spans="2:6" x14ac:dyDescent="0.2">
      <c r="B1673" s="30" t="s">
        <v>2430</v>
      </c>
      <c r="C1673" s="30" t="s">
        <v>367</v>
      </c>
      <c r="D1673" s="30">
        <v>580</v>
      </c>
      <c r="E1673" s="101">
        <v>3.94</v>
      </c>
      <c r="F1673" s="34">
        <f>6.6-2.562-3.392+7.34-0.724-0.828-0.964+8.29</f>
        <v>13.76</v>
      </c>
    </row>
    <row r="1674" spans="2:6" x14ac:dyDescent="0.2">
      <c r="B1674" s="30" t="s">
        <v>2430</v>
      </c>
      <c r="C1674" s="30" t="s">
        <v>367</v>
      </c>
      <c r="D1674" s="30">
        <v>640</v>
      </c>
      <c r="E1674" s="101">
        <v>2.48</v>
      </c>
      <c r="F1674" s="99">
        <f>8.16-1.736</f>
        <v>6.4240000000000004</v>
      </c>
    </row>
    <row r="1675" spans="2:6" x14ac:dyDescent="0.2">
      <c r="B1675" s="30" t="s">
        <v>2430</v>
      </c>
      <c r="C1675" s="30" t="s">
        <v>367</v>
      </c>
      <c r="D1675" s="30">
        <v>650</v>
      </c>
      <c r="E1675" s="101"/>
      <c r="F1675" s="99">
        <f>0.558+0.564-0.558-0.206</f>
        <v>0.35799999999999987</v>
      </c>
    </row>
    <row r="1676" spans="2:6" x14ac:dyDescent="0.2">
      <c r="B1676" s="30" t="s">
        <v>2430</v>
      </c>
      <c r="C1676" s="30" t="s">
        <v>367</v>
      </c>
      <c r="D1676" s="30">
        <v>670</v>
      </c>
      <c r="E1676" s="101"/>
      <c r="F1676" s="34">
        <f>0.644-0.644+6.82-1.198-1.256-0.568-0.182-0.416-1.03</f>
        <v>2.17</v>
      </c>
    </row>
    <row r="1677" spans="2:6" x14ac:dyDescent="0.2">
      <c r="B1677" s="30" t="s">
        <v>2430</v>
      </c>
      <c r="C1677" s="30" t="s">
        <v>367</v>
      </c>
      <c r="D1677" s="30">
        <v>710</v>
      </c>
      <c r="E1677" s="101"/>
      <c r="F1677" s="34">
        <f>6.49-2.388-0.906-1.177-0.648</f>
        <v>1.371</v>
      </c>
    </row>
    <row r="1678" spans="2:6" x14ac:dyDescent="0.2">
      <c r="B1678" s="30" t="s">
        <v>2430</v>
      </c>
      <c r="C1678" s="30" t="s">
        <v>367</v>
      </c>
      <c r="D1678" s="30">
        <v>720</v>
      </c>
      <c r="E1678" s="101"/>
      <c r="F1678" s="34">
        <f>0.44+1.72</f>
        <v>2.16</v>
      </c>
    </row>
    <row r="1679" spans="2:6" x14ac:dyDescent="0.2">
      <c r="B1679" s="30" t="s">
        <v>2430</v>
      </c>
      <c r="C1679" s="30" t="s">
        <v>367</v>
      </c>
      <c r="D1679" s="30">
        <v>730</v>
      </c>
      <c r="E1679" s="101"/>
      <c r="F1679" s="34">
        <f>0.788+0.77+0.766+0.756+0.798</f>
        <v>3.8780000000000001</v>
      </c>
    </row>
    <row r="1680" spans="2:6" x14ac:dyDescent="0.2">
      <c r="B1680" s="30" t="s">
        <v>2430</v>
      </c>
      <c r="C1680" s="30" t="s">
        <v>367</v>
      </c>
      <c r="D1680" s="30">
        <v>740</v>
      </c>
      <c r="E1680" s="101"/>
      <c r="F1680" s="34">
        <f>0.802+0.796+0.71+0.794</f>
        <v>3.1019999999999999</v>
      </c>
    </row>
    <row r="1681" spans="2:6" x14ac:dyDescent="0.2">
      <c r="B1681" s="30" t="s">
        <v>2430</v>
      </c>
      <c r="C1681" s="30" t="s">
        <v>367</v>
      </c>
      <c r="D1681" s="30">
        <v>750</v>
      </c>
      <c r="E1681" s="101"/>
      <c r="F1681" s="34">
        <f>1.74+0.846+1.76+0.85-0.85-0.846</f>
        <v>3.5</v>
      </c>
    </row>
    <row r="1682" spans="2:6" x14ac:dyDescent="0.2">
      <c r="B1682" s="30" t="s">
        <v>2430</v>
      </c>
      <c r="C1682" s="30" t="s">
        <v>367</v>
      </c>
      <c r="D1682" s="30">
        <v>760</v>
      </c>
      <c r="E1682" s="101"/>
      <c r="F1682" s="34">
        <f>1.674+1.732</f>
        <v>3.4059999999999997</v>
      </c>
    </row>
    <row r="1683" spans="2:6" x14ac:dyDescent="0.2">
      <c r="B1683" s="30" t="s">
        <v>2430</v>
      </c>
      <c r="C1683" s="30" t="s">
        <v>367</v>
      </c>
      <c r="D1683" s="30">
        <v>780</v>
      </c>
      <c r="E1683" s="101"/>
      <c r="F1683" s="34">
        <f>0.864</f>
        <v>0.86399999999999999</v>
      </c>
    </row>
    <row r="1684" spans="2:6" x14ac:dyDescent="0.2">
      <c r="B1684" s="30" t="s">
        <v>2430</v>
      </c>
      <c r="C1684" s="30" t="s">
        <v>367</v>
      </c>
      <c r="D1684" s="30" t="s">
        <v>2641</v>
      </c>
      <c r="E1684" s="101"/>
      <c r="F1684" s="34">
        <v>1.198</v>
      </c>
    </row>
    <row r="1685" spans="2:6" x14ac:dyDescent="0.2">
      <c r="B1685" s="30" t="s">
        <v>2430</v>
      </c>
      <c r="C1685" s="30" t="s">
        <v>367</v>
      </c>
      <c r="D1685" s="165">
        <v>1140</v>
      </c>
      <c r="E1685" s="101"/>
      <c r="F1685" s="34">
        <v>2.64</v>
      </c>
    </row>
    <row r="1686" spans="2:6" x14ac:dyDescent="0.2">
      <c r="B1686" s="101" t="s">
        <v>2430</v>
      </c>
      <c r="C1686" s="30" t="s">
        <v>367</v>
      </c>
      <c r="D1686" s="101">
        <v>150</v>
      </c>
      <c r="E1686" s="25"/>
      <c r="F1686" s="99">
        <v>1.48</v>
      </c>
    </row>
    <row r="1687" spans="2:6" x14ac:dyDescent="0.2">
      <c r="B1687" s="101" t="s">
        <v>2430</v>
      </c>
      <c r="C1687" s="30" t="s">
        <v>367</v>
      </c>
      <c r="D1687" s="101">
        <v>230</v>
      </c>
      <c r="E1687" s="25"/>
      <c r="F1687" s="99">
        <f>1.87+2.19</f>
        <v>4.0600000000000005</v>
      </c>
    </row>
    <row r="1688" spans="2:6" x14ac:dyDescent="0.2">
      <c r="B1688" s="101" t="s">
        <v>2430</v>
      </c>
      <c r="C1688" s="30" t="s">
        <v>367</v>
      </c>
      <c r="D1688" s="101">
        <v>240</v>
      </c>
      <c r="E1688" s="25"/>
      <c r="F1688" s="99">
        <f>1.54+2.2+2.32+2.25</f>
        <v>8.31</v>
      </c>
    </row>
    <row r="1689" spans="2:6" x14ac:dyDescent="0.2">
      <c r="B1689" s="101" t="s">
        <v>2430</v>
      </c>
      <c r="C1689" s="30" t="s">
        <v>367</v>
      </c>
      <c r="D1689" s="101">
        <v>260</v>
      </c>
      <c r="E1689" s="25"/>
      <c r="F1689" s="99">
        <f>1.02+1.02+1.04</f>
        <v>3.08</v>
      </c>
    </row>
    <row r="1690" spans="2:6" x14ac:dyDescent="0.2">
      <c r="B1690" s="101" t="s">
        <v>2430</v>
      </c>
      <c r="C1690" s="30" t="s">
        <v>367</v>
      </c>
      <c r="D1690" s="101">
        <v>260</v>
      </c>
      <c r="E1690" s="183"/>
      <c r="F1690" s="99">
        <v>0.27</v>
      </c>
    </row>
    <row r="1691" spans="2:6" x14ac:dyDescent="0.2">
      <c r="B1691" s="101" t="s">
        <v>2430</v>
      </c>
      <c r="C1691" s="30" t="s">
        <v>367</v>
      </c>
      <c r="D1691" s="101">
        <v>270</v>
      </c>
      <c r="E1691" s="25"/>
      <c r="F1691" s="99">
        <v>0.67</v>
      </c>
    </row>
    <row r="1692" spans="2:6" x14ac:dyDescent="0.2">
      <c r="B1692" s="101" t="s">
        <v>2430</v>
      </c>
      <c r="C1692" s="30" t="s">
        <v>367</v>
      </c>
      <c r="D1692" s="101">
        <v>270</v>
      </c>
      <c r="E1692" s="25"/>
      <c r="F1692" s="99">
        <v>0.19500000000000001</v>
      </c>
    </row>
    <row r="1693" spans="2:6" x14ac:dyDescent="0.2">
      <c r="B1693" s="101" t="s">
        <v>2430</v>
      </c>
      <c r="C1693" s="30" t="s">
        <v>367</v>
      </c>
      <c r="D1693" s="101">
        <v>280</v>
      </c>
      <c r="E1693" s="25"/>
      <c r="F1693" s="99">
        <v>4.75</v>
      </c>
    </row>
    <row r="1694" spans="2:6" x14ac:dyDescent="0.2">
      <c r="B1694" s="101" t="s">
        <v>2430</v>
      </c>
      <c r="C1694" s="30" t="s">
        <v>367</v>
      </c>
      <c r="D1694" s="101">
        <v>290</v>
      </c>
      <c r="E1694" s="183"/>
      <c r="F1694" s="99">
        <v>0.75</v>
      </c>
    </row>
    <row r="1695" spans="2:6" x14ac:dyDescent="0.2">
      <c r="B1695" s="101" t="s">
        <v>2430</v>
      </c>
      <c r="C1695" s="30" t="s">
        <v>367</v>
      </c>
      <c r="D1695" s="101">
        <v>300</v>
      </c>
      <c r="E1695" s="183"/>
      <c r="F1695" s="99">
        <v>0.56000000000000005</v>
      </c>
    </row>
    <row r="1696" spans="2:6" x14ac:dyDescent="0.2">
      <c r="B1696" s="101" t="s">
        <v>2430</v>
      </c>
      <c r="C1696" s="30" t="s">
        <v>367</v>
      </c>
      <c r="D1696" s="101">
        <v>310</v>
      </c>
      <c r="E1696" s="25"/>
      <c r="F1696" s="99">
        <v>4.88</v>
      </c>
    </row>
    <row r="1697" spans="2:6" x14ac:dyDescent="0.2">
      <c r="B1697" s="101" t="s">
        <v>2430</v>
      </c>
      <c r="C1697" s="30" t="s">
        <v>367</v>
      </c>
      <c r="D1697" s="101">
        <v>310</v>
      </c>
      <c r="E1697" s="25"/>
      <c r="F1697" s="99">
        <v>4.04</v>
      </c>
    </row>
    <row r="1698" spans="2:6" x14ac:dyDescent="0.2">
      <c r="B1698" s="101" t="s">
        <v>2430</v>
      </c>
      <c r="C1698" s="30" t="s">
        <v>367</v>
      </c>
      <c r="D1698" s="101">
        <v>320</v>
      </c>
      <c r="E1698" s="183"/>
      <c r="F1698" s="99">
        <f>2.77+1.08</f>
        <v>3.85</v>
      </c>
    </row>
    <row r="1699" spans="2:6" x14ac:dyDescent="0.2">
      <c r="B1699" s="101" t="s">
        <v>2430</v>
      </c>
      <c r="C1699" s="30" t="s">
        <v>367</v>
      </c>
      <c r="D1699" s="101">
        <v>320</v>
      </c>
      <c r="E1699" s="183"/>
      <c r="F1699" s="99">
        <v>0.05</v>
      </c>
    </row>
    <row r="1700" spans="2:6" x14ac:dyDescent="0.2">
      <c r="B1700" s="101" t="s">
        <v>2430</v>
      </c>
      <c r="C1700" s="30" t="s">
        <v>367</v>
      </c>
      <c r="D1700" s="101">
        <v>350</v>
      </c>
      <c r="E1700" s="183"/>
      <c r="F1700" s="99">
        <v>0.5</v>
      </c>
    </row>
    <row r="1701" spans="2:6" x14ac:dyDescent="0.2">
      <c r="B1701" s="101" t="s">
        <v>2430</v>
      </c>
      <c r="C1701" s="30" t="s">
        <v>367</v>
      </c>
      <c r="D1701" s="101" t="s">
        <v>2501</v>
      </c>
      <c r="E1701" s="25"/>
      <c r="F1701" s="99"/>
    </row>
    <row r="1702" spans="2:6" x14ac:dyDescent="0.2">
      <c r="B1702" s="101" t="s">
        <v>2430</v>
      </c>
      <c r="C1702" s="30" t="s">
        <v>367</v>
      </c>
      <c r="D1702" s="101">
        <v>350</v>
      </c>
      <c r="E1702" s="25"/>
      <c r="F1702" s="99">
        <f>0.085+0.08</f>
        <v>0.16500000000000001</v>
      </c>
    </row>
    <row r="1703" spans="2:6" x14ac:dyDescent="0.2">
      <c r="B1703" s="101" t="s">
        <v>2430</v>
      </c>
      <c r="C1703" s="30" t="s">
        <v>685</v>
      </c>
      <c r="D1703" s="101">
        <v>220</v>
      </c>
      <c r="E1703" s="25"/>
      <c r="F1703" s="99">
        <v>0.5</v>
      </c>
    </row>
    <row r="1704" spans="2:6" x14ac:dyDescent="0.2">
      <c r="B1704" s="30" t="s">
        <v>2430</v>
      </c>
      <c r="C1704" s="30" t="s">
        <v>409</v>
      </c>
      <c r="D1704" s="30">
        <v>310</v>
      </c>
      <c r="E1704" s="101"/>
      <c r="F1704" s="99">
        <f>1.21-0.26</f>
        <v>0.95</v>
      </c>
    </row>
    <row r="1705" spans="2:6" x14ac:dyDescent="0.2">
      <c r="B1705" s="101" t="s">
        <v>2430</v>
      </c>
      <c r="C1705" s="30" t="s">
        <v>708</v>
      </c>
      <c r="D1705" s="101">
        <v>300</v>
      </c>
      <c r="E1705" s="25"/>
      <c r="F1705" s="99">
        <f>0.1</f>
        <v>0.1</v>
      </c>
    </row>
    <row r="1706" spans="2:6" x14ac:dyDescent="0.2">
      <c r="B1706" s="101" t="s">
        <v>2430</v>
      </c>
      <c r="C1706" s="30" t="s">
        <v>708</v>
      </c>
      <c r="D1706" s="101">
        <v>320</v>
      </c>
      <c r="E1706" s="183"/>
      <c r="F1706" s="99">
        <v>1.74</v>
      </c>
    </row>
    <row r="1707" spans="2:6" x14ac:dyDescent="0.2">
      <c r="B1707" s="101" t="s">
        <v>2430</v>
      </c>
      <c r="C1707" s="30" t="s">
        <v>708</v>
      </c>
      <c r="D1707" s="101">
        <v>330</v>
      </c>
      <c r="E1707" s="183"/>
      <c r="F1707" s="99">
        <v>0.05</v>
      </c>
    </row>
    <row r="1708" spans="2:6" x14ac:dyDescent="0.2">
      <c r="B1708" s="101" t="s">
        <v>2430</v>
      </c>
      <c r="C1708" s="30" t="s">
        <v>708</v>
      </c>
      <c r="D1708" s="101">
        <v>350</v>
      </c>
      <c r="E1708" s="25"/>
      <c r="F1708" s="99">
        <f>4.06+4.07</f>
        <v>8.129999999999999</v>
      </c>
    </row>
    <row r="1709" spans="2:6" x14ac:dyDescent="0.2">
      <c r="B1709" s="101" t="s">
        <v>2430</v>
      </c>
      <c r="C1709" s="30" t="s">
        <v>708</v>
      </c>
      <c r="D1709" s="101">
        <v>350</v>
      </c>
      <c r="E1709" s="25"/>
      <c r="F1709" s="99">
        <v>7.0000000000000007E-2</v>
      </c>
    </row>
    <row r="1710" spans="2:6" x14ac:dyDescent="0.2">
      <c r="B1710" s="30" t="s">
        <v>2430</v>
      </c>
      <c r="C1710" s="30" t="s">
        <v>371</v>
      </c>
      <c r="D1710" s="30">
        <v>240</v>
      </c>
      <c r="E1710" s="101" t="s">
        <v>2737</v>
      </c>
      <c r="F1710" s="99">
        <f>3.05-0.046-0.528+3.13-0.916-0.432-0.09-0.354-0.362</f>
        <v>3.4519999999999991</v>
      </c>
    </row>
    <row r="1711" spans="2:6" x14ac:dyDescent="0.2">
      <c r="B1711" s="30" t="s">
        <v>2430</v>
      </c>
      <c r="C1711" s="30" t="s">
        <v>371</v>
      </c>
      <c r="D1711" s="30">
        <v>260</v>
      </c>
      <c r="E1711" s="101">
        <v>3.63</v>
      </c>
      <c r="F1711" s="99">
        <f>3.1+3.165-3.21-0.64-0.018-0.226-0.214</f>
        <v>1.9570000000000007</v>
      </c>
    </row>
    <row r="1712" spans="2:6" x14ac:dyDescent="0.2">
      <c r="B1712" s="30" t="s">
        <v>2430</v>
      </c>
      <c r="C1712" s="30" t="s">
        <v>371</v>
      </c>
      <c r="D1712" s="30" t="s">
        <v>2642</v>
      </c>
      <c r="E1712" s="101"/>
      <c r="F1712" s="99">
        <f>0.508-0.096</f>
        <v>0.41200000000000003</v>
      </c>
    </row>
    <row r="1713" spans="2:6" x14ac:dyDescent="0.2">
      <c r="B1713" s="30" t="s">
        <v>2430</v>
      </c>
      <c r="C1713" s="30" t="s">
        <v>371</v>
      </c>
      <c r="D1713" s="30">
        <v>280</v>
      </c>
      <c r="E1713" s="101" t="s">
        <v>2738</v>
      </c>
      <c r="F1713" s="99">
        <f>8.41-3.595+3.46+(1.22)-1.136-0.346-0.17-1.022-0.79-1.366-0.022-0.096</f>
        <v>4.5469999999999988</v>
      </c>
    </row>
    <row r="1714" spans="2:6" x14ac:dyDescent="0.2">
      <c r="B1714" s="30" t="s">
        <v>2430</v>
      </c>
      <c r="C1714" s="30" t="s">
        <v>371</v>
      </c>
      <c r="D1714" s="30">
        <v>320</v>
      </c>
      <c r="E1714" s="101"/>
      <c r="F1714" s="99">
        <f>2.11+2.09-2.39-0.03-0.288-0.388</f>
        <v>1.1039999999999992</v>
      </c>
    </row>
    <row r="1715" spans="2:6" x14ac:dyDescent="0.2">
      <c r="B1715" s="30" t="s">
        <v>2430</v>
      </c>
      <c r="C1715" s="30" t="s">
        <v>369</v>
      </c>
      <c r="D1715" s="30">
        <v>210</v>
      </c>
      <c r="E1715" s="101">
        <v>5.42</v>
      </c>
      <c r="F1715" s="99">
        <f>3.18-0.016-0.06-1.584</f>
        <v>1.52</v>
      </c>
    </row>
    <row r="1716" spans="2:6" x14ac:dyDescent="0.2">
      <c r="B1716" s="30" t="s">
        <v>2430</v>
      </c>
      <c r="C1716" s="30" t="s">
        <v>369</v>
      </c>
      <c r="D1716" s="30">
        <v>220</v>
      </c>
      <c r="E1716" s="101">
        <v>4.38</v>
      </c>
      <c r="F1716" s="99">
        <f>-0.306+3.09+3.01-1.218-1.564-0.528-0.17</f>
        <v>2.3139999999999996</v>
      </c>
    </row>
    <row r="1717" spans="2:6" x14ac:dyDescent="0.2">
      <c r="B1717" s="30" t="s">
        <v>2430</v>
      </c>
      <c r="C1717" s="30" t="s">
        <v>373</v>
      </c>
      <c r="D1717" s="30">
        <v>460</v>
      </c>
      <c r="E1717" s="101"/>
      <c r="F1717" s="99">
        <f>1.6-0.198+(0.256)-0.284+0.43-0.61-0.434-0.256-0.278</f>
        <v>0.22599999999999998</v>
      </c>
    </row>
    <row r="1718" spans="2:6" x14ac:dyDescent="0.2">
      <c r="B1718" s="101" t="s">
        <v>2430</v>
      </c>
      <c r="C1718" s="30" t="s">
        <v>373</v>
      </c>
      <c r="D1718" s="101">
        <v>180</v>
      </c>
      <c r="E1718" s="183"/>
      <c r="F1718" s="99">
        <v>0.7</v>
      </c>
    </row>
    <row r="1719" spans="2:6" x14ac:dyDescent="0.2">
      <c r="B1719" s="101" t="s">
        <v>2430</v>
      </c>
      <c r="C1719" s="30" t="s">
        <v>373</v>
      </c>
      <c r="D1719" s="101" t="s">
        <v>2452</v>
      </c>
      <c r="E1719" s="183"/>
      <c r="F1719" s="99">
        <v>1.0249999999999999</v>
      </c>
    </row>
    <row r="1720" spans="2:6" x14ac:dyDescent="0.2">
      <c r="B1720" s="30" t="s">
        <v>2430</v>
      </c>
      <c r="C1720" s="30" t="s">
        <v>376</v>
      </c>
      <c r="D1720" s="30" t="s">
        <v>2644</v>
      </c>
      <c r="E1720" s="101" t="s">
        <v>2754</v>
      </c>
      <c r="F1720" s="34">
        <f>3.89-0.04-0.87-0.294-0.354-2.324-(0.008)+4.29-0.59-0.168-0.2-0.086-0.126-0.266-0.3-1.132+2.89+2.86-0.194-0.186-0.188-0.12-0.198-0.198-0.094-0.12-0.086-0.244-0.118-0.086-0.126-0.086</f>
        <v>5.1279999999999983</v>
      </c>
    </row>
    <row r="1721" spans="2:6" x14ac:dyDescent="0.2">
      <c r="B1721" s="30" t="s">
        <v>2430</v>
      </c>
      <c r="C1721" s="30" t="s">
        <v>376</v>
      </c>
      <c r="D1721" s="30" t="s">
        <v>2645</v>
      </c>
      <c r="E1721" s="101">
        <v>6.5</v>
      </c>
      <c r="F1721" s="99">
        <f>3.45-2.704-0.746+3.3-0.018-0.08-0.174-0.462-0.056-2.038+(2.038)-0.266-0.52-0.316-0.154-0.32-0.09-0.88+(0.036)+3.53+(0.01)-0.444-1.22-0.198-0.09-0.098-0.234-1.256+3.69-0.16-0.13-0.2-0.138-0.092-0.328-1.644-0.33-0.066-0.586-(0.016)+4.17-1.312-0.388-0.254-0.186-0.078-0.072-0.152-0.27-0.12-0.396+5.73-0.154-0.646-1.944-0.322-0.156-0.082-0.146-0.666-1.6-0.042-0.066-0.046+4.81-0.094-0.042-0.238-0.15-0.052</f>
        <v>5.0359999999999978</v>
      </c>
    </row>
    <row r="1722" spans="2:6" x14ac:dyDescent="0.2">
      <c r="B1722" s="30" t="s">
        <v>2430</v>
      </c>
      <c r="C1722" s="30" t="s">
        <v>376</v>
      </c>
      <c r="D1722" s="30" t="s">
        <v>2646</v>
      </c>
      <c r="E1722" s="101"/>
      <c r="F1722" s="34">
        <f>3.85-0.854-0.532-0.174-1.748-0.542+4.12-0.682-1.372-0.286-0.28-0.28-0.078-0.278-0.036-0.276-0.05+5.83-0.066-0.172-0.084-0.078-0.684-0.182-0.08-0.064-0.08-0.732-0.16-0.17-1.644-0.188-0.272</f>
        <v>1.6759999999999993</v>
      </c>
    </row>
    <row r="1723" spans="2:6" x14ac:dyDescent="0.2">
      <c r="B1723" s="30" t="s">
        <v>2430</v>
      </c>
      <c r="C1723" s="30" t="s">
        <v>376</v>
      </c>
      <c r="D1723" s="30" t="s">
        <v>2647</v>
      </c>
      <c r="E1723" s="101">
        <v>2.12</v>
      </c>
      <c r="F1723" s="99">
        <f>2.77+2.84-0.05-0.362-0.048-0.124-0.048-1.114-0.732-0.174-0.41</f>
        <v>2.5479999999999996</v>
      </c>
    </row>
    <row r="1724" spans="2:6" x14ac:dyDescent="0.2">
      <c r="B1724" s="30" t="s">
        <v>2430</v>
      </c>
      <c r="C1724" s="30" t="s">
        <v>376</v>
      </c>
      <c r="D1724" s="30" t="s">
        <v>2648</v>
      </c>
      <c r="E1724" s="101">
        <v>4.84</v>
      </c>
      <c r="F1724" s="99">
        <f>4.1-0.128</f>
        <v>3.9719999999999995</v>
      </c>
    </row>
    <row r="1725" spans="2:6" x14ac:dyDescent="0.2">
      <c r="B1725" s="30" t="s">
        <v>2430</v>
      </c>
      <c r="C1725" s="30" t="s">
        <v>376</v>
      </c>
      <c r="D1725" s="30" t="s">
        <v>2649</v>
      </c>
      <c r="E1725" s="101">
        <v>5.71</v>
      </c>
      <c r="F1725" s="34">
        <f>5.56-0.136-0.154-0.554-0.42-0.252-0.172-1.062-0.062-0.336-1.124-0.048-0.07-0.06-0.04-0.176-0.14+4.68-0.106</f>
        <v>5.3279999999999994</v>
      </c>
    </row>
    <row r="1726" spans="2:6" x14ac:dyDescent="0.2">
      <c r="B1726" s="30" t="s">
        <v>2430</v>
      </c>
      <c r="C1726" s="30" t="s">
        <v>376</v>
      </c>
      <c r="D1726" s="30" t="s">
        <v>2650</v>
      </c>
      <c r="E1726" s="101">
        <v>5.45</v>
      </c>
      <c r="F1726" s="34">
        <f>5.38-0.456-0.118-0.116-0.298-0.442-0.082-0.246-0.17-0.358-0.33-0.068-0.066-0.1+4.84-0.754-2.006-0.056-1.138-0.318-0.324-0.146-0.02-0.18-0.848-0.528+4.8-0.136-0.052</f>
        <v>5.6639999999999997</v>
      </c>
    </row>
    <row r="1727" spans="2:6" x14ac:dyDescent="0.2">
      <c r="B1727" s="30" t="s">
        <v>2430</v>
      </c>
      <c r="C1727" s="30" t="s">
        <v>376</v>
      </c>
      <c r="D1727" s="30" t="s">
        <v>2651</v>
      </c>
      <c r="E1727" s="101">
        <v>6.09</v>
      </c>
      <c r="F1727" s="34">
        <v>6.1</v>
      </c>
    </row>
    <row r="1728" spans="2:6" x14ac:dyDescent="0.2">
      <c r="B1728" s="30" t="s">
        <v>2430</v>
      </c>
      <c r="C1728" s="30" t="s">
        <v>376</v>
      </c>
      <c r="D1728" s="30" t="s">
        <v>2652</v>
      </c>
      <c r="E1728" s="101">
        <v>5.54</v>
      </c>
      <c r="F1728" s="34">
        <v>5.9</v>
      </c>
    </row>
    <row r="1729" spans="2:6" x14ac:dyDescent="0.2">
      <c r="B1729" s="30" t="s">
        <v>2430</v>
      </c>
      <c r="C1729" s="30" t="s">
        <v>376</v>
      </c>
      <c r="D1729" s="30" t="s">
        <v>2653</v>
      </c>
      <c r="E1729" s="101">
        <v>2.52</v>
      </c>
      <c r="F1729" s="34">
        <f>6.01-2.94</f>
        <v>3.07</v>
      </c>
    </row>
    <row r="1730" spans="2:6" x14ac:dyDescent="0.2">
      <c r="B1730" s="30" t="s">
        <v>2430</v>
      </c>
      <c r="C1730" s="30" t="s">
        <v>376</v>
      </c>
      <c r="D1730" s="30" t="s">
        <v>2654</v>
      </c>
      <c r="E1730" s="101">
        <v>4.5599999999999996</v>
      </c>
      <c r="F1730" s="34">
        <f>7.22-0.646-0.17-4.686-0.114-0.1+7.15</f>
        <v>8.6539999999999999</v>
      </c>
    </row>
    <row r="1731" spans="2:6" x14ac:dyDescent="0.2">
      <c r="B1731" s="101" t="s">
        <v>2430</v>
      </c>
      <c r="C1731" s="30" t="s">
        <v>1755</v>
      </c>
      <c r="D1731" s="101">
        <v>340</v>
      </c>
      <c r="E1731" s="183"/>
      <c r="F1731" s="99">
        <v>1.47</v>
      </c>
    </row>
    <row r="1732" spans="2:6" x14ac:dyDescent="0.2">
      <c r="B1732" s="30" t="s">
        <v>2430</v>
      </c>
      <c r="C1732" s="30" t="s">
        <v>328</v>
      </c>
      <c r="D1732" s="30">
        <v>200</v>
      </c>
      <c r="E1732" s="101">
        <v>1.25</v>
      </c>
      <c r="F1732" s="99">
        <f>0.314+0.214-0.214</f>
        <v>0.31400000000000006</v>
      </c>
    </row>
    <row r="1733" spans="2:6" x14ac:dyDescent="0.2">
      <c r="B1733" s="30" t="s">
        <v>2430</v>
      </c>
      <c r="C1733" s="30" t="s">
        <v>326</v>
      </c>
      <c r="D1733" s="30">
        <v>200</v>
      </c>
      <c r="E1733" s="101" t="s">
        <v>2767</v>
      </c>
      <c r="F1733" s="99">
        <f>0.546+0.516+0.568+0.498+0.434+0.54+0.542+0.496+0.406+0.644+0.646+0.274-0.274-0.284-0.244</f>
        <v>5.3080000000000007</v>
      </c>
    </row>
    <row r="1734" spans="2:6" x14ac:dyDescent="0.2">
      <c r="B1734" s="30" t="s">
        <v>2430</v>
      </c>
      <c r="C1734" s="30" t="s">
        <v>326</v>
      </c>
      <c r="D1734" s="30">
        <v>210</v>
      </c>
      <c r="E1734" s="101" t="s">
        <v>2768</v>
      </c>
      <c r="F1734" s="99">
        <f>0.61+0.6+0.568+0.61-0.186-0.042-0.374-0.036-0.118-0.01-0.022-0.274</f>
        <v>1.3260000000000001</v>
      </c>
    </row>
    <row r="1735" spans="2:6" x14ac:dyDescent="0.2">
      <c r="B1735" s="30" t="s">
        <v>2430</v>
      </c>
      <c r="C1735" s="30" t="s">
        <v>326</v>
      </c>
      <c r="D1735" s="30">
        <v>370</v>
      </c>
      <c r="E1735" s="101"/>
      <c r="F1735" s="99">
        <f>0.85-0.228</f>
        <v>0.622</v>
      </c>
    </row>
    <row r="1736" spans="2:6" x14ac:dyDescent="0.2">
      <c r="B1736" s="30" t="s">
        <v>2430</v>
      </c>
      <c r="C1736" s="30" t="s">
        <v>326</v>
      </c>
      <c r="D1736" s="30">
        <v>480</v>
      </c>
      <c r="E1736" s="101"/>
      <c r="F1736" s="99">
        <f>1.1-0.278</f>
        <v>0.82200000000000006</v>
      </c>
    </row>
    <row r="1737" spans="2:6" x14ac:dyDescent="0.2">
      <c r="B1737" s="30" t="s">
        <v>2430</v>
      </c>
      <c r="C1737" s="30" t="s">
        <v>326</v>
      </c>
      <c r="D1737" s="30" t="s">
        <v>2655</v>
      </c>
      <c r="E1737" s="101"/>
      <c r="F1737" s="99">
        <v>1.1459999999999999</v>
      </c>
    </row>
    <row r="1738" spans="2:6" x14ac:dyDescent="0.2">
      <c r="B1738" s="30" t="s">
        <v>2430</v>
      </c>
      <c r="C1738" s="30" t="s">
        <v>326</v>
      </c>
      <c r="D1738" s="30">
        <v>520</v>
      </c>
      <c r="E1738" s="101"/>
      <c r="F1738" s="99">
        <v>0.89400000000000002</v>
      </c>
    </row>
    <row r="1739" spans="2:6" x14ac:dyDescent="0.2">
      <c r="B1739" s="30" t="s">
        <v>2430</v>
      </c>
      <c r="C1739" s="30" t="s">
        <v>326</v>
      </c>
      <c r="D1739" s="30">
        <v>600</v>
      </c>
      <c r="E1739" s="101"/>
      <c r="F1739" s="99">
        <v>0.56399999999999995</v>
      </c>
    </row>
    <row r="1740" spans="2:6" x14ac:dyDescent="0.2">
      <c r="B1740" s="30" t="s">
        <v>2430</v>
      </c>
      <c r="C1740" s="30" t="s">
        <v>326</v>
      </c>
      <c r="D1740" s="30">
        <v>630</v>
      </c>
      <c r="E1740" s="101"/>
      <c r="F1740" s="99">
        <f>0.794-0.38</f>
        <v>0.41400000000000003</v>
      </c>
    </row>
    <row r="1741" spans="2:6" x14ac:dyDescent="0.2">
      <c r="B1741" s="101" t="s">
        <v>2430</v>
      </c>
      <c r="C1741" s="30" t="s">
        <v>326</v>
      </c>
      <c r="D1741" s="101">
        <v>160</v>
      </c>
      <c r="E1741" s="183"/>
      <c r="F1741" s="99">
        <v>0.24</v>
      </c>
    </row>
    <row r="1742" spans="2:6" x14ac:dyDescent="0.2">
      <c r="B1742" s="30" t="s">
        <v>2430</v>
      </c>
      <c r="C1742" s="30" t="s">
        <v>329</v>
      </c>
      <c r="D1742" s="30">
        <v>90</v>
      </c>
      <c r="E1742" s="101"/>
      <c r="F1742" s="34">
        <f>0.106-0.05+(0.05)-0.016-0.09+2.823-0.524-0.178-1.068-0.356-0.052-0.178-0.044+2.306-0.35-0.108-0.028-0.188-0.536-0.106-0.184-0.078-0.298-0.338-0.054-0.032-0.028-0.146-0.162-0.058-0.004+4.79-0.055-0.056-0.128-0.57-0.945+0.432-0.19-0.72-1.665-0.05-0.17+4.103-0.102-0.102-0.006-0.03-0.062-0.204-0.31-0.372-0.194-0.37+0.948-0.052-0.052-0.056+1.09-0.124-0.148+2.056-0.376-0.042-0.028+(0.01)-0.128-0.026-0.33-0.026-0.062-0.18-0.13-0.092-0.5-0.19-0.16-0.05-0.114-0.008-0.08-0.05-0.016-0.052-0.17+(-0.477)-0.32-0.078-0.078-0.082-0.008-0.356-0.254-0.078-0.046-0.094-0.02-0.076-0.052-0.026-0.054-0.016</f>
        <v>1.8020000000000009</v>
      </c>
    </row>
    <row r="1743" spans="2:6" x14ac:dyDescent="0.2">
      <c r="B1743" s="30" t="s">
        <v>2430</v>
      </c>
      <c r="C1743" s="30" t="s">
        <v>329</v>
      </c>
      <c r="D1743" s="30">
        <v>100</v>
      </c>
      <c r="E1743" s="101"/>
      <c r="F1743" s="34">
        <f>3.13-0.198-0.596-0.018-0.062-0.162-0.04+1.06+1.046-0.066-0.008-0.21-1.06-0.068+0.984-0.166-0.066-0.622-0.296+1.064-1.086-0.516-0.364+3.043-0.02-0.058-1.024-0.068-0.004-0.07-0.082-0.004+4.034-0.018-0.194-0.076-0.034-0.054-0.3-0.03-0.048-0.328-0.244-0.02-0.034-0.02-0.066-0.052+(1.458-0.152-0.224-0.144-0.2-0.092-0.112)+(0.339)-0.208-0.07-0.066-0.114-1.32+0.08-0.074</f>
        <v>5.0100000000000033</v>
      </c>
    </row>
    <row r="1744" spans="2:6" x14ac:dyDescent="0.2">
      <c r="B1744" s="30" t="s">
        <v>2430</v>
      </c>
      <c r="C1744" s="30" t="s">
        <v>329</v>
      </c>
      <c r="D1744" s="30">
        <v>110</v>
      </c>
      <c r="E1744" s="101"/>
      <c r="F1744" s="34">
        <f>1.012+1.43+0.984-0.078+1.888-0.256-0.256-0.04-0.424-0.268-0.494+1.51-0.102-0.062-0.096-0.074-0.716-0.024-0.09-0.052-0.526+0.096-0.182-0.004-0.072-0.028-0.122-0.104-0.152-0.09-0.006-0.074-0.07-1.5-0.004-0.002-0.128</f>
        <v>0.82399999999999973</v>
      </c>
    </row>
    <row r="1745" spans="2:6" x14ac:dyDescent="0.2">
      <c r="B1745" s="30" t="s">
        <v>2430</v>
      </c>
      <c r="C1745" s="30" t="s">
        <v>329</v>
      </c>
      <c r="D1745" s="30">
        <v>120</v>
      </c>
      <c r="E1745" s="101"/>
      <c r="F1745" s="34">
        <f>1.748-0.19-0.116+2.394-0.066-0.094-0.094-2.208-0.208-0.008+2.006-0.012-0.18-0.052-0.246-0.506+3.21+0.754-0.23-0.026-0.006-0.046-0.046-0.12-0.102-0.09-0.006-0.242-0.248-0.176-0.066-0.004-0.088-0.108-0.004-0.038-0.632-0.158-0.092-0.066-0.278-0.044-0.088-0.086-0.008+(-0.046)-0.252-0.264-0.238-0.028-0.086-0.086-0.982-0.164-0.088+0.954-0.222-0.18-0.094+2.172-0.282</f>
        <v>3.1479999999999988</v>
      </c>
    </row>
    <row r="1746" spans="2:6" x14ac:dyDescent="0.2">
      <c r="B1746" s="30" t="s">
        <v>2430</v>
      </c>
      <c r="C1746" s="30" t="s">
        <v>329</v>
      </c>
      <c r="D1746" s="30">
        <v>130</v>
      </c>
      <c r="E1746" s="101"/>
      <c r="F1746" s="34">
        <f>2.02+1.234-0.062-0.31+(2.158-0.064)-0.252-0.002-0.056-0.048+1.796-0.22-0.622+0.4+0.788-1.026-0.054-0.262-0.204-0.136-0.608-0.234-1.494-0.044-0.24-0.23-0.1+(0.16)-0.11-0.01-0.026-0.012-0.006-0.04-0.4-0.124-0.05-0.03-0.17-0.026-0.06-0.054-0.058+(0.104)-0.206+2.142-0.012-0.064-0.062+1.29-0.058-1.29-0.116-0.052-0.084-0.11+1.426-0.11</f>
        <v>3.9100000000000033</v>
      </c>
    </row>
    <row r="1747" spans="2:6" x14ac:dyDescent="0.2">
      <c r="B1747" s="30" t="s">
        <v>2430</v>
      </c>
      <c r="C1747" s="30" t="s">
        <v>329</v>
      </c>
      <c r="D1747" s="30">
        <v>140</v>
      </c>
      <c r="E1747" s="101"/>
      <c r="F1747" s="34">
        <f>3.48+2.09-0.354-0.058-0.682-0.376-0.014-0.062-0.094-0.162-0.38-0.082-0.558-0.026+(0.209)+(-0.077)-0.018-0.09-0.14-0.06-1.526+1.268+1.402-0.064</f>
        <v>3.6259999999999994</v>
      </c>
    </row>
    <row r="1748" spans="2:6" x14ac:dyDescent="0.2">
      <c r="B1748" s="30" t="s">
        <v>2430</v>
      </c>
      <c r="C1748" s="30" t="s">
        <v>329</v>
      </c>
      <c r="D1748" s="30">
        <v>150</v>
      </c>
      <c r="E1748" s="101"/>
      <c r="F1748" s="99">
        <f>1.016-0.715-0.156-0.006+3.474-0.822-0.362-0.346-1.028-0.362-0.15-0.01-0.046-0.142-0.15-0.195+2.052-0.072-0.07-0.046+2.09-0.33-0.566-0.356-0.146-0.026-0.03+4.221-0.124-0.01-0.022-0.352-0.354+0.805-0.354-0.092-0.014-0.08-0.148-0.136-0.04-0.074-0.01-0.064-0.064-0.096-0.592-0.142-0.338+(2.27-1.52+(0.762)-0.318-0.088-0.036)+(-0.298)-0.506-0.188-0.012-0.07-0.136-0.004-0.176-0.436-0.242-0.008-0.194-0.994+2.048</f>
        <v>4.2740000000000009</v>
      </c>
    </row>
    <row r="1749" spans="2:6" x14ac:dyDescent="0.2">
      <c r="B1749" s="30" t="s">
        <v>2430</v>
      </c>
      <c r="C1749" s="30" t="s">
        <v>329</v>
      </c>
      <c r="D1749" s="30">
        <v>160</v>
      </c>
      <c r="E1749" s="101"/>
      <c r="F1749" s="99">
        <f>1.061-0.02-0.166-0.068-0.32+1.516-0.992+3.392-0.116+0.3-0.414-0.718-0.106-0.012-0.02-0.082+2.23+0.44-0.278-0.084-0.478+4.894-0.378-0.536-0.374+1.383-0.106-0.99-0.024-0.33-0.206-0.026-0.034-0.268-0.254-(0.164)-0.138-0.082-0.008-0.102-0.222-0.034-0.052+0.198-0.166-0.842-0.102-0.162-0.084-0.244-0.098-0.062-0.75-0.164-0.036-0.156-0.4-0.022-0.262-0.13-0.014-0.164</f>
        <v>3.354000000000005</v>
      </c>
    </row>
    <row r="1750" spans="2:6" x14ac:dyDescent="0.2">
      <c r="B1750" s="30" t="s">
        <v>2430</v>
      </c>
      <c r="C1750" s="30" t="s">
        <v>329</v>
      </c>
      <c r="D1750" s="30">
        <v>165</v>
      </c>
      <c r="E1750" s="101"/>
      <c r="F1750" s="99">
        <f>0.25+0.25+0.53+0.29+0.27+0.28+0.264+1.03-0.032-0.76+(0.05)-0.034-0.208</f>
        <v>2.1800000000000006</v>
      </c>
    </row>
    <row r="1751" spans="2:6" x14ac:dyDescent="0.2">
      <c r="B1751" s="30" t="s">
        <v>2430</v>
      </c>
      <c r="C1751" s="30" t="s">
        <v>329</v>
      </c>
      <c r="D1751" s="30">
        <v>180</v>
      </c>
      <c r="E1751" s="101"/>
      <c r="F1751" s="34">
        <f>1.56-0.302-0.402-0.022-0.022-0.018-0.798+(0.004+1.636)-1.345-0.302+(0.011)+3.036-1.505-0.288-0.33-1.213+3.905-0.05-1.874-0.01-1.08-0.152-0.156-0.086-0.124+2.949-0.206-0.204-0.172-0.422-0.1-1.15+1.608-0.072-0.364-0.558+4.547+(0.373)+4.006-0.04-0.16-0.318-0.188-1.24-0.228+1.728-0.998-0.668-0.56-0.682+6.162-0.056-0.146-0.35-0.04-0.534+2.638-0.108-0.03-0.202-0.084-0.242-0.012-0.076-0.954+0.8-0.032-0.406-0.088-0.346-0.018-1.164-0.062-0.146-0.322-0.112-0.062-1.112-2.761-0.034-0.104-0.642+(0.093)-1.224-0.11-0.206-0.018-0.03+1.496-0.106-0.402-0.734-0.124</f>
        <v>4.9439999999999991</v>
      </c>
    </row>
    <row r="1752" spans="2:6" x14ac:dyDescent="0.2">
      <c r="B1752" s="30" t="s">
        <v>2430</v>
      </c>
      <c r="C1752" s="30" t="s">
        <v>329</v>
      </c>
      <c r="D1752" s="30">
        <v>190</v>
      </c>
      <c r="E1752" s="101"/>
      <c r="F1752" s="99">
        <f>1.864-0.352-0.162-0.058-0.08+1.415-0.042-0.232-0.352-0.108-0.252-0.086-0.058-0.044-0.036-0.048-0.036-0.476-0.118-0.676-0.063+(0.028)+1.634-1.13</f>
        <v>0.53199999999999958</v>
      </c>
    </row>
    <row r="1753" spans="2:6" x14ac:dyDescent="0.2">
      <c r="B1753" s="30" t="s">
        <v>2430</v>
      </c>
      <c r="C1753" s="30" t="s">
        <v>329</v>
      </c>
      <c r="D1753" s="30">
        <v>200</v>
      </c>
      <c r="E1753" s="101"/>
      <c r="F1753" s="34">
        <f>4.985-0.056-0.26+1.496-0.608-0.206-0.096-0.092-0.06-0.188+(-0.045)-0.112-0.29-0.016-0.034-0.192-0.386-0.056-0.054-0.65-0.01-0.546-0.104-0.064-0.02-0.008-0.184-0.036-0.126-0.186-0.518-0.04-0.178</f>
        <v>1.0600000000000016</v>
      </c>
    </row>
    <row r="1754" spans="2:6" x14ac:dyDescent="0.2">
      <c r="B1754" s="30" t="s">
        <v>2430</v>
      </c>
      <c r="C1754" s="30" t="s">
        <v>329</v>
      </c>
      <c r="D1754" s="30">
        <v>220</v>
      </c>
      <c r="E1754" s="101"/>
      <c r="F1754" s="34">
        <f>1.12-0.308-0.368+0.626</f>
        <v>1.07</v>
      </c>
    </row>
    <row r="1755" spans="2:6" x14ac:dyDescent="0.2">
      <c r="B1755" s="30" t="s">
        <v>2430</v>
      </c>
      <c r="C1755" s="30" t="s">
        <v>329</v>
      </c>
      <c r="D1755" s="30" t="s">
        <v>2656</v>
      </c>
      <c r="E1755" s="101"/>
      <c r="F1755" s="34">
        <f>2.31-1.18-0.076-0.024-0.042-0.098</f>
        <v>0.89</v>
      </c>
    </row>
    <row r="1756" spans="2:6" x14ac:dyDescent="0.2">
      <c r="B1756" s="30" t="s">
        <v>2430</v>
      </c>
      <c r="C1756" s="30" t="s">
        <v>329</v>
      </c>
      <c r="D1756" s="30">
        <v>250</v>
      </c>
      <c r="E1756" s="101"/>
      <c r="F1756" s="34">
        <f>1.612-0.03-0.306+1.764</f>
        <v>3.04</v>
      </c>
    </row>
    <row r="1757" spans="2:6" x14ac:dyDescent="0.2">
      <c r="B1757" s="30" t="s">
        <v>2430</v>
      </c>
      <c r="C1757" s="30" t="s">
        <v>329</v>
      </c>
      <c r="D1757" s="30">
        <v>280</v>
      </c>
      <c r="E1757" s="101"/>
      <c r="F1757" s="34">
        <f>2.062-0.354-0.286</f>
        <v>1.4219999999999997</v>
      </c>
    </row>
    <row r="1758" spans="2:6" x14ac:dyDescent="0.2">
      <c r="B1758" s="30" t="s">
        <v>2430</v>
      </c>
      <c r="C1758" s="30" t="s">
        <v>329</v>
      </c>
      <c r="D1758" s="30">
        <v>300</v>
      </c>
      <c r="E1758" s="101"/>
      <c r="F1758" s="34">
        <f>3.892-0.456-0.28-0.278-0.028-0.362-0.288-0.086-0.114-0.032+2.406-0.5-0.52-0.512-1.136-0.035-0.045-1.465+2.478-0.135-0.035-0.185-0.072-0.05-1.756-0.05-0.03+1.86-0.042-0.746+4.806-0.048-0.346-0.066+3.004-0.116-0.926-0.068-0.964-0.226-0.042-0.104-1.57-0.048-1.632-0.044-0.044-0.426-0.16-0.098-0.284-0.332-0.044-0.094-0.094-0.178-0.184-0.15-0.6-0.172+2.68</f>
        <v>2.8280000000000012</v>
      </c>
    </row>
    <row r="1759" spans="2:6" x14ac:dyDescent="0.2">
      <c r="B1759" s="30" t="s">
        <v>2430</v>
      </c>
      <c r="C1759" s="30" t="s">
        <v>329</v>
      </c>
      <c r="D1759" s="30">
        <v>320</v>
      </c>
      <c r="E1759" s="101"/>
      <c r="F1759" s="99">
        <f>4.334+2.242-0.094-0.598+(0.068)-0.232-0.33-0.154-0.126-0.04-0.558-0.384-0.264-0.132-0.26</f>
        <v>3.4719999999999978</v>
      </c>
    </row>
    <row r="1760" spans="2:6" x14ac:dyDescent="0.2">
      <c r="B1760" s="30" t="s">
        <v>2430</v>
      </c>
      <c r="C1760" s="30" t="s">
        <v>329</v>
      </c>
      <c r="D1760" s="30">
        <v>350</v>
      </c>
      <c r="E1760" s="101"/>
      <c r="F1760" s="34">
        <f>4.372-0.05-0.064-0.42+2.444-0.082-0.426-0.348-0.42-0.666-0.124-0.428-0.098-0.08-0.424</f>
        <v>3.1860000000000004</v>
      </c>
    </row>
    <row r="1761" spans="2:6" x14ac:dyDescent="0.2">
      <c r="B1761" s="30" t="s">
        <v>2430</v>
      </c>
      <c r="C1761" s="30" t="s">
        <v>329</v>
      </c>
      <c r="D1761" s="30">
        <v>370</v>
      </c>
      <c r="E1761" s="101"/>
      <c r="F1761" s="34">
        <f>2.928-0.36-0.064-0.576-0.364+2.469+3.012-1.03-0.512-0.092+(1.03)-1.05-0.714+(0.219)-0.042-0.122-1.03-0.044-0.264-0.636-0.228</f>
        <v>2.5300000000000016</v>
      </c>
    </row>
    <row r="1762" spans="2:6" x14ac:dyDescent="0.2">
      <c r="B1762" s="30" t="s">
        <v>2430</v>
      </c>
      <c r="C1762" s="30" t="s">
        <v>329</v>
      </c>
      <c r="D1762" s="30">
        <v>390</v>
      </c>
      <c r="E1762" s="101"/>
      <c r="F1762" s="34">
        <f>5.341+3.04-0.266-0.334-1.046-0.194-0.716-0.102-1.65</f>
        <v>4.0730000000000004</v>
      </c>
    </row>
    <row r="1763" spans="2:6" x14ac:dyDescent="0.2">
      <c r="B1763" s="30" t="s">
        <v>2430</v>
      </c>
      <c r="C1763" s="30" t="s">
        <v>329</v>
      </c>
      <c r="D1763" s="30">
        <v>400</v>
      </c>
      <c r="E1763" s="101"/>
      <c r="F1763" s="34">
        <f>3.915-1.148+2.9-1.138-1.3-0.066-0.39</f>
        <v>2.7730000000000001</v>
      </c>
    </row>
    <row r="1764" spans="2:6" x14ac:dyDescent="0.2">
      <c r="B1764" s="30" t="s">
        <v>2430</v>
      </c>
      <c r="C1764" s="30" t="s">
        <v>329</v>
      </c>
      <c r="D1764" s="30">
        <v>410</v>
      </c>
      <c r="E1764" s="101"/>
      <c r="F1764" s="34">
        <f>3.352-0.216-0.086-0.392-0.252-0.388</f>
        <v>2.0179999999999998</v>
      </c>
    </row>
    <row r="1765" spans="2:6" x14ac:dyDescent="0.2">
      <c r="B1765" s="30" t="s">
        <v>2430</v>
      </c>
      <c r="C1765" s="30" t="s">
        <v>329</v>
      </c>
      <c r="D1765" s="30">
        <v>430</v>
      </c>
      <c r="E1765" s="101"/>
      <c r="F1765" s="34">
        <f>4.402-0.068-0.124-1.526-0.164-0.266-0.07-1.356-0.116+4.372-0.074-0.564-0.164-0.276-0.072</f>
        <v>3.9340000000000011</v>
      </c>
    </row>
    <row r="1766" spans="2:6" x14ac:dyDescent="0.2">
      <c r="B1766" s="30" t="s">
        <v>2430</v>
      </c>
      <c r="C1766" s="30" t="s">
        <v>329</v>
      </c>
      <c r="D1766" s="30">
        <v>440</v>
      </c>
      <c r="E1766" s="101"/>
      <c r="F1766" s="34">
        <f>2.11-1.246-0.09</f>
        <v>0.77399999999999991</v>
      </c>
    </row>
    <row r="1767" spans="2:6" x14ac:dyDescent="0.2">
      <c r="B1767" s="30" t="s">
        <v>2430</v>
      </c>
      <c r="C1767" s="30" t="s">
        <v>329</v>
      </c>
      <c r="D1767" s="30">
        <v>470</v>
      </c>
      <c r="E1767" s="101"/>
      <c r="F1767" s="99">
        <f>4.33-0.636-0.142-1.01-0.51-1.02</f>
        <v>1.012</v>
      </c>
    </row>
    <row r="1768" spans="2:6" x14ac:dyDescent="0.2">
      <c r="B1768" s="30" t="s">
        <v>2430</v>
      </c>
      <c r="C1768" s="30" t="s">
        <v>329</v>
      </c>
      <c r="D1768" s="30">
        <v>500</v>
      </c>
      <c r="E1768" s="101"/>
      <c r="F1768" s="99">
        <f>4.388-1.058-0.29-0.196-0.614-1.1</f>
        <v>1.1299999999999999</v>
      </c>
    </row>
    <row r="1769" spans="2:6" x14ac:dyDescent="0.2">
      <c r="B1769" s="30" t="s">
        <v>2430</v>
      </c>
      <c r="C1769" s="30" t="s">
        <v>329</v>
      </c>
      <c r="D1769" s="30" t="s">
        <v>1913</v>
      </c>
      <c r="E1769" s="101"/>
      <c r="F1769" s="99">
        <f>0.485</f>
        <v>0.48499999999999999</v>
      </c>
    </row>
    <row r="1770" spans="2:6" x14ac:dyDescent="0.2">
      <c r="B1770" s="30" t="s">
        <v>2430</v>
      </c>
      <c r="C1770" s="30" t="s">
        <v>329</v>
      </c>
      <c r="D1770" s="30" t="s">
        <v>2657</v>
      </c>
      <c r="E1770" s="101"/>
      <c r="F1770" s="99">
        <v>2.8519999999999999</v>
      </c>
    </row>
    <row r="1771" spans="2:6" x14ac:dyDescent="0.2">
      <c r="B1771" s="30" t="s">
        <v>2430</v>
      </c>
      <c r="C1771" s="30" t="s">
        <v>329</v>
      </c>
      <c r="D1771" s="30" t="s">
        <v>2658</v>
      </c>
      <c r="E1771" s="101"/>
      <c r="F1771" s="99">
        <f>3.294-0.398-0.58</f>
        <v>2.3159999999999998</v>
      </c>
    </row>
    <row r="1772" spans="2:6" x14ac:dyDescent="0.2">
      <c r="B1772" s="30" t="s">
        <v>2430</v>
      </c>
      <c r="C1772" s="30" t="s">
        <v>329</v>
      </c>
      <c r="D1772" s="30" t="s">
        <v>2659</v>
      </c>
      <c r="E1772" s="101"/>
      <c r="F1772" s="34">
        <v>0.60799999999999998</v>
      </c>
    </row>
    <row r="1773" spans="2:6" x14ac:dyDescent="0.2">
      <c r="B1773" s="30" t="s">
        <v>2430</v>
      </c>
      <c r="C1773" s="30" t="s">
        <v>329</v>
      </c>
      <c r="D1773" s="30" t="s">
        <v>2660</v>
      </c>
      <c r="E1773" s="101"/>
      <c r="F1773" s="34">
        <f>2.7-1.346</f>
        <v>1.3540000000000001</v>
      </c>
    </row>
    <row r="1774" spans="2:6" x14ac:dyDescent="0.2">
      <c r="B1774" s="30" t="s">
        <v>2430</v>
      </c>
      <c r="C1774" s="30" t="s">
        <v>329</v>
      </c>
      <c r="D1774" s="30" t="s">
        <v>2661</v>
      </c>
      <c r="E1774" s="101"/>
      <c r="F1774" s="34">
        <f>1.672-0.32-0.51</f>
        <v>0.84199999999999986</v>
      </c>
    </row>
    <row r="1775" spans="2:6" x14ac:dyDescent="0.2">
      <c r="B1775" s="30" t="s">
        <v>2430</v>
      </c>
      <c r="C1775" s="30" t="s">
        <v>329</v>
      </c>
      <c r="D1775" s="30" t="s">
        <v>2662</v>
      </c>
      <c r="E1775" s="101"/>
      <c r="F1775" s="99">
        <v>4.2809999999999997</v>
      </c>
    </row>
    <row r="1776" spans="2:6" x14ac:dyDescent="0.2">
      <c r="B1776" s="30" t="s">
        <v>2430</v>
      </c>
      <c r="C1776" s="30" t="s">
        <v>329</v>
      </c>
      <c r="D1776" s="30" t="s">
        <v>2663</v>
      </c>
      <c r="E1776" s="101"/>
      <c r="F1776" s="99">
        <v>2.3180000000000001</v>
      </c>
    </row>
    <row r="1777" spans="2:6" x14ac:dyDescent="0.2">
      <c r="B1777" s="101" t="s">
        <v>2430</v>
      </c>
      <c r="C1777" s="30" t="s">
        <v>329</v>
      </c>
      <c r="D1777" s="101">
        <v>320</v>
      </c>
      <c r="E1777" s="183"/>
      <c r="F1777" s="99">
        <v>1.08</v>
      </c>
    </row>
    <row r="1778" spans="2:6" x14ac:dyDescent="0.2">
      <c r="B1778" s="30" t="s">
        <v>2430</v>
      </c>
      <c r="C1778" s="30" t="s">
        <v>388</v>
      </c>
      <c r="D1778" s="30">
        <v>450</v>
      </c>
      <c r="E1778" s="101"/>
      <c r="F1778" s="34">
        <f>4.41-0.136-0.332+4.042-0.464-0.192-0.17-1.326-0.626-0.208-0.634-0.214-1.326+(0.056)</f>
        <v>2.8799999999999977</v>
      </c>
    </row>
    <row r="1779" spans="2:6" x14ac:dyDescent="0.2">
      <c r="B1779" s="30" t="s">
        <v>2430</v>
      </c>
      <c r="C1779" s="30" t="s">
        <v>388</v>
      </c>
      <c r="D1779" s="30">
        <v>460</v>
      </c>
      <c r="E1779" s="101"/>
      <c r="F1779" s="99">
        <f>6.15-4.096-1.128-0.334+12.964-3.362-0.202-0.144-0.148+8.556-0.078-0.114-0.116-0.084-0.092+4.346-0.706-0.604-0.396-0.108+(0.604)-(0.37)-3.484</f>
        <v>17.054000000000002</v>
      </c>
    </row>
    <row r="1780" spans="2:6" x14ac:dyDescent="0.2">
      <c r="B1780" s="30" t="s">
        <v>2430</v>
      </c>
      <c r="C1780" s="30" t="s">
        <v>1534</v>
      </c>
      <c r="D1780" s="30">
        <v>190</v>
      </c>
      <c r="E1780" s="101"/>
      <c r="F1780" s="34">
        <f>0.352-0.352+(0.352)</f>
        <v>0.35199999999999998</v>
      </c>
    </row>
    <row r="1781" spans="2:6" x14ac:dyDescent="0.2">
      <c r="B1781" s="30" t="s">
        <v>2430</v>
      </c>
      <c r="C1781" s="30" t="s">
        <v>1534</v>
      </c>
      <c r="D1781" s="30">
        <v>200</v>
      </c>
      <c r="E1781" s="101"/>
      <c r="F1781" s="99">
        <f>0.25+0.258+0.248+0.216+0.228+0.31+0.374</f>
        <v>1.8839999999999999</v>
      </c>
    </row>
    <row r="1782" spans="2:6" x14ac:dyDescent="0.2">
      <c r="B1782" s="30" t="s">
        <v>2430</v>
      </c>
      <c r="C1782" s="30" t="s">
        <v>1534</v>
      </c>
      <c r="D1782" s="30">
        <v>210</v>
      </c>
      <c r="E1782" s="101"/>
      <c r="F1782" s="99">
        <f>0.274+0.226+0.368</f>
        <v>0.86799999999999999</v>
      </c>
    </row>
    <row r="1783" spans="2:6" x14ac:dyDescent="0.2">
      <c r="B1783" s="30" t="s">
        <v>2430</v>
      </c>
      <c r="C1783" s="30" t="s">
        <v>1534</v>
      </c>
      <c r="D1783" s="30">
        <v>220</v>
      </c>
      <c r="E1783" s="101"/>
      <c r="F1783" s="99">
        <f>0.256+0.332+0.364+0.374+0.41+0.376+0.376</f>
        <v>2.488</v>
      </c>
    </row>
    <row r="1784" spans="2:6" x14ac:dyDescent="0.2">
      <c r="B1784" s="30" t="s">
        <v>2430</v>
      </c>
      <c r="C1784" s="30" t="s">
        <v>1534</v>
      </c>
      <c r="D1784" s="30">
        <v>240</v>
      </c>
      <c r="E1784" s="101"/>
      <c r="F1784" s="99">
        <v>0.36599999999999999</v>
      </c>
    </row>
    <row r="1785" spans="2:6" x14ac:dyDescent="0.2">
      <c r="B1785" s="30" t="s">
        <v>2430</v>
      </c>
      <c r="C1785" s="30" t="s">
        <v>1534</v>
      </c>
      <c r="D1785" s="30">
        <v>250</v>
      </c>
      <c r="E1785" s="101"/>
      <c r="F1785" s="99">
        <f>0.614-0.192</f>
        <v>0.42199999999999999</v>
      </c>
    </row>
    <row r="1786" spans="2:6" x14ac:dyDescent="0.2">
      <c r="B1786" s="30" t="s">
        <v>2430</v>
      </c>
      <c r="C1786" s="30" t="s">
        <v>1534</v>
      </c>
      <c r="D1786" s="30">
        <v>300</v>
      </c>
      <c r="E1786" s="101"/>
      <c r="F1786" s="34">
        <f>0.939-0.09</f>
        <v>0.84899999999999998</v>
      </c>
    </row>
    <row r="1787" spans="2:6" x14ac:dyDescent="0.2">
      <c r="B1787" s="101" t="s">
        <v>2430</v>
      </c>
      <c r="C1787" s="30" t="s">
        <v>1534</v>
      </c>
      <c r="D1787" s="101">
        <v>160</v>
      </c>
      <c r="E1787" s="183"/>
      <c r="F1787" s="99">
        <v>3.06</v>
      </c>
    </row>
    <row r="1788" spans="2:6" x14ac:dyDescent="0.2">
      <c r="B1788" s="101" t="s">
        <v>2430</v>
      </c>
      <c r="C1788" s="30" t="s">
        <v>1534</v>
      </c>
      <c r="D1788" s="101">
        <v>160</v>
      </c>
      <c r="E1788" s="25"/>
      <c r="F1788" s="99">
        <v>0.84</v>
      </c>
    </row>
    <row r="1789" spans="2:6" x14ac:dyDescent="0.2">
      <c r="B1789" s="101" t="s">
        <v>2430</v>
      </c>
      <c r="C1789" s="30" t="s">
        <v>1534</v>
      </c>
      <c r="D1789" s="101">
        <v>250</v>
      </c>
      <c r="E1789" s="183"/>
      <c r="F1789" s="99">
        <v>0.215</v>
      </c>
    </row>
    <row r="1790" spans="2:6" x14ac:dyDescent="0.2">
      <c r="B1790" s="4" t="s">
        <v>145</v>
      </c>
      <c r="C1790" s="173" t="s">
        <v>146</v>
      </c>
      <c r="D1790" s="15">
        <v>20</v>
      </c>
      <c r="E1790" s="4" t="s">
        <v>292</v>
      </c>
      <c r="F1790" s="38">
        <v>0.03</v>
      </c>
    </row>
    <row r="1791" spans="2:6" x14ac:dyDescent="0.2">
      <c r="B1791" s="101" t="s">
        <v>2393</v>
      </c>
      <c r="C1791" s="30" t="s">
        <v>850</v>
      </c>
      <c r="D1791" s="101">
        <v>170</v>
      </c>
      <c r="E1791" s="183"/>
      <c r="F1791" s="99">
        <v>0.37</v>
      </c>
    </row>
    <row r="1792" spans="2:6" x14ac:dyDescent="0.2">
      <c r="B1792" s="101" t="s">
        <v>2393</v>
      </c>
      <c r="C1792" s="30" t="s">
        <v>1621</v>
      </c>
      <c r="D1792" s="101">
        <v>150</v>
      </c>
      <c r="E1792" s="25"/>
      <c r="F1792" s="99">
        <v>0.12</v>
      </c>
    </row>
    <row r="1793" spans="2:6" x14ac:dyDescent="0.2">
      <c r="B1793" s="101" t="s">
        <v>2393</v>
      </c>
      <c r="C1793" s="30" t="s">
        <v>1627</v>
      </c>
      <c r="D1793" s="101" t="s">
        <v>1628</v>
      </c>
      <c r="E1793" s="183"/>
      <c r="F1793" s="99"/>
    </row>
    <row r="1794" spans="2:6" x14ac:dyDescent="0.2">
      <c r="B1794" s="101" t="s">
        <v>2393</v>
      </c>
      <c r="C1794" s="30" t="s">
        <v>702</v>
      </c>
      <c r="D1794" s="101">
        <v>130</v>
      </c>
      <c r="E1794" s="25"/>
      <c r="F1794" s="99">
        <v>0.9</v>
      </c>
    </row>
    <row r="1795" spans="2:6" x14ac:dyDescent="0.2">
      <c r="B1795" s="101" t="s">
        <v>2393</v>
      </c>
      <c r="C1795" s="30" t="s">
        <v>313</v>
      </c>
      <c r="D1795" s="101" t="s">
        <v>2408</v>
      </c>
      <c r="E1795" s="25"/>
      <c r="F1795" s="99">
        <v>1.72</v>
      </c>
    </row>
    <row r="1796" spans="2:6" x14ac:dyDescent="0.2">
      <c r="B1796" s="101" t="s">
        <v>2393</v>
      </c>
      <c r="C1796" s="30" t="s">
        <v>313</v>
      </c>
      <c r="D1796" s="101" t="s">
        <v>2413</v>
      </c>
      <c r="E1796" s="183"/>
      <c r="F1796" s="99">
        <v>4.9000000000000004</v>
      </c>
    </row>
    <row r="1797" spans="2:6" x14ac:dyDescent="0.2">
      <c r="B1797" s="101" t="s">
        <v>2393</v>
      </c>
      <c r="C1797" s="30" t="s">
        <v>313</v>
      </c>
      <c r="D1797" s="101" t="s">
        <v>2417</v>
      </c>
      <c r="E1797" s="25"/>
      <c r="F1797" s="99">
        <v>4.96</v>
      </c>
    </row>
    <row r="1798" spans="2:6" x14ac:dyDescent="0.2">
      <c r="B1798" s="101" t="s">
        <v>2393</v>
      </c>
      <c r="C1798" s="30" t="s">
        <v>281</v>
      </c>
      <c r="D1798" s="101">
        <v>32</v>
      </c>
      <c r="E1798" s="25"/>
      <c r="F1798" s="99">
        <f>0.96-0.04</f>
        <v>0.91999999999999993</v>
      </c>
    </row>
    <row r="1799" spans="2:6" x14ac:dyDescent="0.2">
      <c r="B1799" s="101" t="s">
        <v>2393</v>
      </c>
      <c r="C1799" s="30" t="s">
        <v>281</v>
      </c>
      <c r="D1799" s="101" t="s">
        <v>2402</v>
      </c>
      <c r="E1799" s="183"/>
      <c r="F1799" s="99">
        <v>5.6529999999999996</v>
      </c>
    </row>
    <row r="1800" spans="2:6" x14ac:dyDescent="0.2">
      <c r="B1800" s="101" t="s">
        <v>2393</v>
      </c>
      <c r="C1800" s="30" t="s">
        <v>281</v>
      </c>
      <c r="D1800" s="101">
        <v>250</v>
      </c>
      <c r="E1800" s="188"/>
      <c r="F1800" s="99">
        <v>2.8759999999999999</v>
      </c>
    </row>
    <row r="1801" spans="2:6" x14ac:dyDescent="0.2">
      <c r="B1801" s="101" t="s">
        <v>2393</v>
      </c>
      <c r="C1801" s="30" t="s">
        <v>281</v>
      </c>
      <c r="D1801" s="101" t="s">
        <v>2403</v>
      </c>
      <c r="E1801" s="183"/>
      <c r="F1801" s="99">
        <v>1.456</v>
      </c>
    </row>
    <row r="1802" spans="2:6" x14ac:dyDescent="0.2">
      <c r="B1802" s="101" t="s">
        <v>2393</v>
      </c>
      <c r="C1802" s="30" t="s">
        <v>281</v>
      </c>
      <c r="D1802" s="101">
        <v>300</v>
      </c>
      <c r="E1802" s="25"/>
      <c r="F1802" s="99"/>
    </row>
    <row r="1803" spans="2:6" x14ac:dyDescent="0.2">
      <c r="B1803" s="101" t="s">
        <v>2393</v>
      </c>
      <c r="C1803" s="30" t="s">
        <v>281</v>
      </c>
      <c r="D1803" s="101" t="s">
        <v>2406</v>
      </c>
      <c r="E1803" s="25"/>
      <c r="F1803" s="99">
        <v>6.34</v>
      </c>
    </row>
    <row r="1804" spans="2:6" x14ac:dyDescent="0.2">
      <c r="B1804" s="101" t="s">
        <v>2393</v>
      </c>
      <c r="C1804" s="30" t="s">
        <v>281</v>
      </c>
      <c r="D1804" s="101" t="s">
        <v>2408</v>
      </c>
      <c r="E1804" s="25"/>
      <c r="F1804" s="99">
        <v>3.09</v>
      </c>
    </row>
    <row r="1805" spans="2:6" x14ac:dyDescent="0.2">
      <c r="B1805" s="101" t="s">
        <v>2393</v>
      </c>
      <c r="C1805" s="30" t="s">
        <v>281</v>
      </c>
      <c r="D1805" s="101" t="s">
        <v>2411</v>
      </c>
      <c r="E1805" s="183"/>
      <c r="F1805" s="99">
        <v>9.1449999999999996</v>
      </c>
    </row>
    <row r="1806" spans="2:6" x14ac:dyDescent="0.2">
      <c r="B1806" s="101" t="s">
        <v>2393</v>
      </c>
      <c r="C1806" s="30" t="s">
        <v>281</v>
      </c>
      <c r="D1806" s="101">
        <v>350</v>
      </c>
      <c r="E1806" s="183"/>
      <c r="F1806" s="99">
        <v>1.81</v>
      </c>
    </row>
    <row r="1807" spans="2:6" x14ac:dyDescent="0.2">
      <c r="B1807" s="101" t="s">
        <v>2393</v>
      </c>
      <c r="C1807" s="30" t="s">
        <v>281</v>
      </c>
      <c r="D1807" s="101">
        <v>360</v>
      </c>
      <c r="E1807" s="183"/>
      <c r="F1807" s="99">
        <v>4.3419999999999996</v>
      </c>
    </row>
    <row r="1808" spans="2:6" x14ac:dyDescent="0.2">
      <c r="B1808" s="101" t="s">
        <v>2393</v>
      </c>
      <c r="C1808" s="30" t="s">
        <v>281</v>
      </c>
      <c r="D1808" s="101">
        <v>370</v>
      </c>
      <c r="E1808" s="183"/>
      <c r="F1808" s="99">
        <f>6.25-0.14-0.3</f>
        <v>5.8100000000000005</v>
      </c>
    </row>
    <row r="1809" spans="2:6" x14ac:dyDescent="0.2">
      <c r="B1809" s="101" t="s">
        <v>2393</v>
      </c>
      <c r="C1809" s="30" t="s">
        <v>281</v>
      </c>
      <c r="D1809" s="101">
        <v>370</v>
      </c>
      <c r="E1809" s="183"/>
      <c r="F1809" s="99">
        <v>0.15</v>
      </c>
    </row>
    <row r="1810" spans="2:6" x14ac:dyDescent="0.2">
      <c r="B1810" s="101" t="s">
        <v>2393</v>
      </c>
      <c r="C1810" s="30" t="s">
        <v>281</v>
      </c>
      <c r="D1810" s="101">
        <v>400</v>
      </c>
      <c r="E1810" s="183"/>
      <c r="F1810" s="99">
        <v>1.66</v>
      </c>
    </row>
    <row r="1811" spans="2:6" x14ac:dyDescent="0.2">
      <c r="B1811" s="101" t="s">
        <v>2393</v>
      </c>
      <c r="C1811" s="30" t="s">
        <v>281</v>
      </c>
      <c r="D1811" s="101" t="s">
        <v>2414</v>
      </c>
      <c r="E1811" s="25"/>
      <c r="F1811" s="99">
        <v>4.09</v>
      </c>
    </row>
    <row r="1812" spans="2:6" x14ac:dyDescent="0.2">
      <c r="B1812" s="101" t="s">
        <v>2393</v>
      </c>
      <c r="C1812" s="30" t="s">
        <v>281</v>
      </c>
      <c r="D1812" s="101">
        <v>450</v>
      </c>
      <c r="E1812" s="25"/>
      <c r="F1812" s="99">
        <v>5.9219999999999997</v>
      </c>
    </row>
    <row r="1813" spans="2:6" x14ac:dyDescent="0.2">
      <c r="B1813" s="101" t="s">
        <v>2393</v>
      </c>
      <c r="C1813" s="30" t="s">
        <v>281</v>
      </c>
      <c r="D1813" s="101" t="s">
        <v>2416</v>
      </c>
      <c r="E1813" s="25"/>
      <c r="F1813" s="99">
        <v>4.8</v>
      </c>
    </row>
    <row r="1814" spans="2:6" x14ac:dyDescent="0.2">
      <c r="B1814" s="101" t="s">
        <v>2393</v>
      </c>
      <c r="C1814" s="30" t="s">
        <v>281</v>
      </c>
      <c r="D1814" s="101">
        <v>570</v>
      </c>
      <c r="E1814" s="25"/>
      <c r="F1814" s="99">
        <f>0.48+1.42</f>
        <v>1.9</v>
      </c>
    </row>
    <row r="1815" spans="2:6" x14ac:dyDescent="0.2">
      <c r="B1815" s="101" t="s">
        <v>2393</v>
      </c>
      <c r="C1815" s="30" t="s">
        <v>281</v>
      </c>
      <c r="D1815" s="101" t="s">
        <v>1997</v>
      </c>
      <c r="E1815" s="183"/>
      <c r="F1815" s="99">
        <v>0.5</v>
      </c>
    </row>
    <row r="1816" spans="2:6" x14ac:dyDescent="0.2">
      <c r="B1816" s="101" t="s">
        <v>2393</v>
      </c>
      <c r="C1816" s="30" t="s">
        <v>281</v>
      </c>
      <c r="D1816" s="101" t="s">
        <v>2383</v>
      </c>
      <c r="E1816" s="183"/>
      <c r="F1816" s="99">
        <v>1.43</v>
      </c>
    </row>
    <row r="1817" spans="2:6" x14ac:dyDescent="0.2">
      <c r="B1817" s="101" t="s">
        <v>2393</v>
      </c>
      <c r="C1817" s="30" t="s">
        <v>1767</v>
      </c>
      <c r="D1817" s="101">
        <v>350</v>
      </c>
      <c r="E1817" s="25"/>
      <c r="F1817" s="99">
        <f>1.14+1.08</f>
        <v>2.2199999999999998</v>
      </c>
    </row>
    <row r="1818" spans="2:6" x14ac:dyDescent="0.2">
      <c r="B1818" s="101" t="s">
        <v>2393</v>
      </c>
      <c r="C1818" s="30" t="s">
        <v>2415</v>
      </c>
      <c r="D1818" s="101">
        <v>460</v>
      </c>
      <c r="E1818" s="25"/>
      <c r="F1818" s="99">
        <f>2.4+1.31</f>
        <v>3.71</v>
      </c>
    </row>
    <row r="1819" spans="2:6" x14ac:dyDescent="0.2">
      <c r="B1819" s="101" t="s">
        <v>2393</v>
      </c>
      <c r="C1819" s="30" t="s">
        <v>792</v>
      </c>
      <c r="D1819" s="101">
        <v>17</v>
      </c>
      <c r="E1819" s="101"/>
      <c r="F1819" s="99">
        <v>0.09</v>
      </c>
    </row>
    <row r="1820" spans="2:6" x14ac:dyDescent="0.2">
      <c r="B1820" s="101" t="s">
        <v>2393</v>
      </c>
      <c r="C1820" s="30" t="s">
        <v>792</v>
      </c>
      <c r="D1820" s="101">
        <v>28</v>
      </c>
      <c r="E1820" s="101"/>
      <c r="F1820" s="99">
        <f>0.38-0.05-0.01-0.045-0.19</f>
        <v>8.500000000000002E-2</v>
      </c>
    </row>
    <row r="1821" spans="2:6" x14ac:dyDescent="0.2">
      <c r="B1821" s="101" t="s">
        <v>2393</v>
      </c>
      <c r="C1821" s="30" t="s">
        <v>792</v>
      </c>
      <c r="D1821" s="101" t="s">
        <v>2401</v>
      </c>
      <c r="E1821" s="188"/>
      <c r="F1821" s="99">
        <f>1.365+4.01</f>
        <v>5.375</v>
      </c>
    </row>
    <row r="1822" spans="2:6" x14ac:dyDescent="0.2">
      <c r="B1822" s="101" t="s">
        <v>2393</v>
      </c>
      <c r="C1822" s="30" t="s">
        <v>792</v>
      </c>
      <c r="D1822" s="101" t="s">
        <v>2609</v>
      </c>
      <c r="E1822" s="188"/>
      <c r="F1822" s="99">
        <v>1.3340000000000001</v>
      </c>
    </row>
    <row r="1823" spans="2:6" x14ac:dyDescent="0.2">
      <c r="B1823" s="101" t="s">
        <v>2393</v>
      </c>
      <c r="C1823" s="30" t="s">
        <v>2394</v>
      </c>
      <c r="D1823" s="101">
        <v>25</v>
      </c>
      <c r="E1823" s="101"/>
      <c r="F1823" s="99">
        <f>0.045-0.01</f>
        <v>3.4999999999999996E-2</v>
      </c>
    </row>
    <row r="1824" spans="2:6" x14ac:dyDescent="0.2">
      <c r="B1824" s="101" t="s">
        <v>2393</v>
      </c>
      <c r="C1824" s="30" t="s">
        <v>2395</v>
      </c>
      <c r="D1824" s="101">
        <v>28</v>
      </c>
      <c r="E1824" s="101"/>
      <c r="F1824" s="99">
        <v>9.5000000000000001E-2</v>
      </c>
    </row>
    <row r="1825" spans="2:6" x14ac:dyDescent="0.2">
      <c r="B1825" s="101" t="s">
        <v>2393</v>
      </c>
      <c r="C1825" s="30" t="s">
        <v>1922</v>
      </c>
      <c r="D1825" s="101" t="s">
        <v>2545</v>
      </c>
      <c r="E1825" s="183"/>
      <c r="F1825" s="99">
        <v>0.38</v>
      </c>
    </row>
    <row r="1826" spans="2:6" x14ac:dyDescent="0.2">
      <c r="B1826" s="101" t="s">
        <v>2393</v>
      </c>
      <c r="C1826" s="30" t="s">
        <v>1922</v>
      </c>
      <c r="D1826" s="101" t="s">
        <v>2610</v>
      </c>
      <c r="E1826" s="183"/>
      <c r="F1826" s="99">
        <v>0.4</v>
      </c>
    </row>
    <row r="1827" spans="2:6" x14ac:dyDescent="0.2">
      <c r="B1827" s="101" t="s">
        <v>2393</v>
      </c>
      <c r="C1827" s="30" t="s">
        <v>697</v>
      </c>
      <c r="D1827" s="101">
        <v>10</v>
      </c>
      <c r="E1827" s="183"/>
      <c r="F1827" s="99">
        <v>0.4</v>
      </c>
    </row>
    <row r="1828" spans="2:6" x14ac:dyDescent="0.2">
      <c r="B1828" s="101" t="s">
        <v>2393</v>
      </c>
      <c r="C1828" s="30" t="s">
        <v>697</v>
      </c>
      <c r="D1828" s="101">
        <v>14</v>
      </c>
      <c r="E1828" s="183"/>
      <c r="F1828" s="99">
        <v>3.75</v>
      </c>
    </row>
    <row r="1829" spans="2:6" x14ac:dyDescent="0.2">
      <c r="B1829" s="101" t="s">
        <v>2393</v>
      </c>
      <c r="C1829" s="30" t="s">
        <v>697</v>
      </c>
      <c r="D1829" s="101">
        <v>20</v>
      </c>
      <c r="E1829" s="101"/>
      <c r="F1829" s="99">
        <v>3.92</v>
      </c>
    </row>
    <row r="1830" spans="2:6" x14ac:dyDescent="0.2">
      <c r="B1830" s="101" t="s">
        <v>2393</v>
      </c>
      <c r="C1830" s="30" t="s">
        <v>697</v>
      </c>
      <c r="D1830" s="101">
        <v>25</v>
      </c>
      <c r="E1830" s="183"/>
      <c r="F1830" s="99">
        <v>0.27</v>
      </c>
    </row>
    <row r="1831" spans="2:6" x14ac:dyDescent="0.2">
      <c r="B1831" s="101" t="s">
        <v>2393</v>
      </c>
      <c r="C1831" s="30" t="s">
        <v>697</v>
      </c>
      <c r="D1831" s="101">
        <v>28</v>
      </c>
      <c r="E1831" s="183"/>
      <c r="F1831" s="99">
        <f>0.9-0.26</f>
        <v>0.64</v>
      </c>
    </row>
    <row r="1832" spans="2:6" x14ac:dyDescent="0.2">
      <c r="B1832" s="101" t="s">
        <v>2393</v>
      </c>
      <c r="C1832" s="30" t="s">
        <v>697</v>
      </c>
      <c r="D1832" s="101">
        <v>30</v>
      </c>
      <c r="E1832" s="101"/>
      <c r="F1832" s="99">
        <f>0.1-0.085</f>
        <v>1.4999999999999999E-2</v>
      </c>
    </row>
    <row r="1833" spans="2:6" x14ac:dyDescent="0.2">
      <c r="B1833" s="101" t="s">
        <v>2393</v>
      </c>
      <c r="C1833" s="30" t="s">
        <v>697</v>
      </c>
      <c r="D1833" s="101">
        <v>30</v>
      </c>
      <c r="E1833" s="25"/>
      <c r="F1833" s="99">
        <v>4.4999999999999998E-2</v>
      </c>
    </row>
    <row r="1834" spans="2:6" x14ac:dyDescent="0.2">
      <c r="B1834" s="101" t="s">
        <v>2393</v>
      </c>
      <c r="C1834" s="30" t="s">
        <v>697</v>
      </c>
      <c r="D1834" s="101">
        <v>40</v>
      </c>
      <c r="E1834" s="183"/>
      <c r="F1834" s="99"/>
    </row>
    <row r="1835" spans="2:6" x14ac:dyDescent="0.2">
      <c r="B1835" s="101" t="s">
        <v>2393</v>
      </c>
      <c r="C1835" s="30" t="s">
        <v>697</v>
      </c>
      <c r="D1835" s="101">
        <v>90</v>
      </c>
      <c r="E1835" s="183"/>
      <c r="F1835" s="99">
        <v>0.42</v>
      </c>
    </row>
    <row r="1836" spans="2:6" x14ac:dyDescent="0.2">
      <c r="B1836" s="101" t="s">
        <v>2393</v>
      </c>
      <c r="C1836" s="30" t="s">
        <v>697</v>
      </c>
      <c r="D1836" s="101" t="s">
        <v>2399</v>
      </c>
      <c r="E1836" s="183"/>
      <c r="F1836" s="99">
        <v>0.63</v>
      </c>
    </row>
    <row r="1837" spans="2:6" x14ac:dyDescent="0.2">
      <c r="B1837" s="101" t="s">
        <v>2393</v>
      </c>
      <c r="C1837" s="30" t="s">
        <v>697</v>
      </c>
      <c r="D1837" s="101" t="s">
        <v>2400</v>
      </c>
      <c r="E1837" s="183"/>
      <c r="F1837" s="99">
        <v>0.52</v>
      </c>
    </row>
    <row r="1838" spans="2:6" x14ac:dyDescent="0.2">
      <c r="B1838" s="101" t="s">
        <v>2393</v>
      </c>
      <c r="C1838" s="30" t="s">
        <v>697</v>
      </c>
      <c r="D1838" s="101" t="s">
        <v>2404</v>
      </c>
      <c r="E1838" s="25"/>
      <c r="F1838" s="99">
        <v>2.895</v>
      </c>
    </row>
    <row r="1839" spans="2:6" x14ac:dyDescent="0.2">
      <c r="B1839" s="101" t="s">
        <v>2393</v>
      </c>
      <c r="C1839" s="184" t="s">
        <v>697</v>
      </c>
      <c r="D1839" s="101" t="s">
        <v>2405</v>
      </c>
      <c r="E1839" s="183"/>
      <c r="F1839" s="99">
        <v>0.56999999999999995</v>
      </c>
    </row>
    <row r="1840" spans="2:6" x14ac:dyDescent="0.2">
      <c r="B1840" s="101" t="s">
        <v>2393</v>
      </c>
      <c r="C1840" s="30" t="s">
        <v>697</v>
      </c>
      <c r="D1840" s="101" t="s">
        <v>2406</v>
      </c>
      <c r="E1840" s="25"/>
      <c r="F1840" s="99">
        <v>2.8839999999999999</v>
      </c>
    </row>
    <row r="1841" spans="2:6" x14ac:dyDescent="0.2">
      <c r="B1841" s="101" t="s">
        <v>2393</v>
      </c>
      <c r="C1841" s="30" t="s">
        <v>697</v>
      </c>
      <c r="D1841" s="101" t="s">
        <v>2407</v>
      </c>
      <c r="E1841" s="25"/>
      <c r="F1841" s="99">
        <f>4.974+1.428+2.994</f>
        <v>9.3960000000000008</v>
      </c>
    </row>
    <row r="1842" spans="2:6" x14ac:dyDescent="0.2">
      <c r="B1842" s="101" t="s">
        <v>2393</v>
      </c>
      <c r="C1842" s="30" t="s">
        <v>697</v>
      </c>
      <c r="D1842" s="101" t="s">
        <v>2408</v>
      </c>
      <c r="E1842" s="25"/>
      <c r="F1842" s="99">
        <v>7.0860000000000003</v>
      </c>
    </row>
    <row r="1843" spans="2:6" x14ac:dyDescent="0.2">
      <c r="B1843" s="101" t="s">
        <v>2393</v>
      </c>
      <c r="C1843" s="30" t="s">
        <v>2409</v>
      </c>
      <c r="D1843" s="101">
        <v>330</v>
      </c>
      <c r="E1843" s="25"/>
      <c r="F1843" s="99">
        <v>2.08</v>
      </c>
    </row>
    <row r="1844" spans="2:6" x14ac:dyDescent="0.2">
      <c r="B1844" s="101" t="s">
        <v>2393</v>
      </c>
      <c r="C1844" s="30" t="s">
        <v>697</v>
      </c>
      <c r="D1844" s="101" t="s">
        <v>2410</v>
      </c>
      <c r="E1844" s="183"/>
      <c r="F1844" s="99">
        <v>0.66</v>
      </c>
    </row>
    <row r="1845" spans="2:6" x14ac:dyDescent="0.2">
      <c r="B1845" s="101" t="s">
        <v>2393</v>
      </c>
      <c r="C1845" s="30" t="s">
        <v>697</v>
      </c>
      <c r="D1845" s="101">
        <v>350</v>
      </c>
      <c r="E1845" s="183"/>
      <c r="F1845" s="99">
        <v>4.76</v>
      </c>
    </row>
    <row r="1846" spans="2:6" x14ac:dyDescent="0.2">
      <c r="B1846" s="101" t="s">
        <v>2393</v>
      </c>
      <c r="C1846" s="30" t="s">
        <v>697</v>
      </c>
      <c r="D1846" s="101">
        <v>400</v>
      </c>
      <c r="E1846" s="183"/>
      <c r="F1846" s="99">
        <v>4.57</v>
      </c>
    </row>
    <row r="1847" spans="2:6" x14ac:dyDescent="0.2">
      <c r="B1847" s="101" t="s">
        <v>2393</v>
      </c>
      <c r="C1847" s="30" t="s">
        <v>697</v>
      </c>
      <c r="D1847" s="101">
        <v>410</v>
      </c>
      <c r="E1847" s="183"/>
      <c r="F1847" s="99">
        <v>0.66</v>
      </c>
    </row>
    <row r="1848" spans="2:6" x14ac:dyDescent="0.2">
      <c r="B1848" s="101" t="s">
        <v>2393</v>
      </c>
      <c r="C1848" s="30" t="s">
        <v>697</v>
      </c>
      <c r="D1848" s="101">
        <v>560</v>
      </c>
      <c r="E1848" s="183"/>
      <c r="F1848" s="99">
        <v>7.22</v>
      </c>
    </row>
    <row r="1849" spans="2:6" x14ac:dyDescent="0.2">
      <c r="B1849" s="101" t="s">
        <v>2393</v>
      </c>
      <c r="C1849" s="30" t="s">
        <v>697</v>
      </c>
      <c r="D1849" s="101">
        <v>580</v>
      </c>
      <c r="E1849" s="25"/>
      <c r="F1849" s="99">
        <f>0.17+0.17</f>
        <v>0.34</v>
      </c>
    </row>
    <row r="1850" spans="2:6" x14ac:dyDescent="0.2">
      <c r="B1850" s="101" t="s">
        <v>2393</v>
      </c>
      <c r="C1850" s="30" t="s">
        <v>697</v>
      </c>
      <c r="D1850" s="101">
        <v>600</v>
      </c>
      <c r="E1850" s="183"/>
      <c r="F1850" s="99">
        <f>2.34-0.37-0.385-0.18</f>
        <v>1.4049999999999998</v>
      </c>
    </row>
    <row r="1851" spans="2:6" x14ac:dyDescent="0.2">
      <c r="B1851" s="101" t="s">
        <v>2393</v>
      </c>
      <c r="C1851" s="30" t="s">
        <v>697</v>
      </c>
      <c r="D1851" s="101">
        <v>600</v>
      </c>
      <c r="E1851" s="183"/>
      <c r="F1851" s="99"/>
    </row>
    <row r="1852" spans="2:6" x14ac:dyDescent="0.2">
      <c r="B1852" s="101" t="s">
        <v>2393</v>
      </c>
      <c r="C1852" s="30" t="s">
        <v>2397</v>
      </c>
      <c r="D1852" s="101">
        <v>60</v>
      </c>
      <c r="E1852" s="25"/>
      <c r="F1852" s="99">
        <v>7.0000000000000007E-2</v>
      </c>
    </row>
    <row r="1853" spans="2:6" x14ac:dyDescent="0.2">
      <c r="B1853" s="101" t="s">
        <v>2393</v>
      </c>
      <c r="C1853" s="30" t="s">
        <v>414</v>
      </c>
      <c r="D1853" s="101">
        <v>22</v>
      </c>
      <c r="E1853" s="183"/>
      <c r="F1853" s="99">
        <v>0.01</v>
      </c>
    </row>
    <row r="1854" spans="2:6" x14ac:dyDescent="0.2">
      <c r="B1854" s="101" t="s">
        <v>2393</v>
      </c>
      <c r="C1854" s="30" t="s">
        <v>414</v>
      </c>
      <c r="D1854" s="101">
        <v>28</v>
      </c>
      <c r="E1854" s="101"/>
      <c r="F1854" s="99">
        <f>0.09-0.01</f>
        <v>0.08</v>
      </c>
    </row>
    <row r="1855" spans="2:6" x14ac:dyDescent="0.2">
      <c r="B1855" s="101" t="s">
        <v>2393</v>
      </c>
      <c r="C1855" s="30" t="s">
        <v>414</v>
      </c>
      <c r="D1855" s="101">
        <v>30</v>
      </c>
      <c r="E1855" s="25"/>
      <c r="F1855" s="99">
        <v>0.03</v>
      </c>
    </row>
    <row r="1856" spans="2:6" x14ac:dyDescent="0.2">
      <c r="B1856" s="101" t="s">
        <v>2393</v>
      </c>
      <c r="C1856" s="30" t="s">
        <v>414</v>
      </c>
      <c r="D1856" s="101">
        <v>36</v>
      </c>
      <c r="E1856" s="25"/>
      <c r="F1856" s="99">
        <v>7.0000000000000007E-2</v>
      </c>
    </row>
    <row r="1857" spans="2:6" x14ac:dyDescent="0.2">
      <c r="B1857" s="101" t="s">
        <v>2393</v>
      </c>
      <c r="C1857" s="30" t="s">
        <v>414</v>
      </c>
      <c r="D1857" s="101">
        <v>160</v>
      </c>
      <c r="E1857" s="183"/>
      <c r="F1857" s="99">
        <f>0.305+0.66</f>
        <v>0.96500000000000008</v>
      </c>
    </row>
    <row r="1858" spans="2:6" x14ac:dyDescent="0.2">
      <c r="B1858" s="101" t="s">
        <v>2393</v>
      </c>
      <c r="C1858" s="30" t="s">
        <v>414</v>
      </c>
      <c r="D1858" s="101">
        <v>180</v>
      </c>
      <c r="E1858" s="183"/>
      <c r="F1858" s="99">
        <f>7.29+0.31</f>
        <v>7.6</v>
      </c>
    </row>
    <row r="1859" spans="2:6" x14ac:dyDescent="0.2">
      <c r="B1859" s="101" t="s">
        <v>2393</v>
      </c>
      <c r="C1859" s="30" t="s">
        <v>414</v>
      </c>
      <c r="D1859" s="101" t="s">
        <v>2608</v>
      </c>
      <c r="E1859" s="183"/>
      <c r="F1859" s="99">
        <v>0.04</v>
      </c>
    </row>
    <row r="1860" spans="2:6" x14ac:dyDescent="0.2">
      <c r="B1860" s="101" t="s">
        <v>2393</v>
      </c>
      <c r="C1860" s="30" t="s">
        <v>414</v>
      </c>
      <c r="D1860" s="101">
        <v>210</v>
      </c>
      <c r="E1860" s="183"/>
      <c r="F1860" s="99"/>
    </row>
    <row r="1861" spans="2:6" x14ac:dyDescent="0.2">
      <c r="B1861" s="101" t="s">
        <v>2393</v>
      </c>
      <c r="C1861" s="30" t="s">
        <v>414</v>
      </c>
      <c r="D1861" s="101">
        <v>260</v>
      </c>
      <c r="E1861" s="183"/>
      <c r="F1861" s="99">
        <v>0.18</v>
      </c>
    </row>
    <row r="1862" spans="2:6" x14ac:dyDescent="0.2">
      <c r="B1862" s="101" t="s">
        <v>2393</v>
      </c>
      <c r="C1862" s="30" t="s">
        <v>414</v>
      </c>
      <c r="D1862" s="101" t="s">
        <v>2404</v>
      </c>
      <c r="E1862" s="25"/>
      <c r="F1862" s="99">
        <v>1.8280000000000001</v>
      </c>
    </row>
    <row r="1863" spans="2:6" x14ac:dyDescent="0.2">
      <c r="B1863" s="101" t="s">
        <v>2393</v>
      </c>
      <c r="C1863" s="30" t="s">
        <v>414</v>
      </c>
      <c r="D1863" s="101">
        <v>430</v>
      </c>
      <c r="E1863" s="25"/>
      <c r="F1863" s="99">
        <v>0.18</v>
      </c>
    </row>
    <row r="1864" spans="2:6" x14ac:dyDescent="0.2">
      <c r="B1864" s="101" t="s">
        <v>2393</v>
      </c>
      <c r="C1864" s="30" t="s">
        <v>414</v>
      </c>
      <c r="D1864" s="101">
        <v>470</v>
      </c>
      <c r="E1864" s="25"/>
      <c r="F1864" s="99">
        <v>0.65</v>
      </c>
    </row>
    <row r="1865" spans="2:6" x14ac:dyDescent="0.2">
      <c r="B1865" s="101" t="s">
        <v>2393</v>
      </c>
      <c r="C1865" s="30" t="s">
        <v>413</v>
      </c>
      <c r="D1865" s="101" t="s">
        <v>2396</v>
      </c>
      <c r="E1865" s="183"/>
      <c r="F1865" s="99">
        <v>0.06</v>
      </c>
    </row>
    <row r="1866" spans="2:6" x14ac:dyDescent="0.2">
      <c r="B1866" s="101" t="s">
        <v>2393</v>
      </c>
      <c r="C1866" s="30" t="s">
        <v>413</v>
      </c>
      <c r="D1866" s="101">
        <v>100</v>
      </c>
      <c r="E1866" s="25"/>
      <c r="F1866" s="99">
        <v>0.17</v>
      </c>
    </row>
    <row r="1867" spans="2:6" x14ac:dyDescent="0.2">
      <c r="B1867" s="101" t="s">
        <v>2393</v>
      </c>
      <c r="C1867" s="30" t="s">
        <v>413</v>
      </c>
      <c r="D1867" s="101" t="s">
        <v>2411</v>
      </c>
      <c r="E1867" s="183"/>
      <c r="F1867" s="99">
        <v>5.577</v>
      </c>
    </row>
    <row r="1868" spans="2:6" x14ac:dyDescent="0.2">
      <c r="B1868" s="101" t="s">
        <v>2393</v>
      </c>
      <c r="C1868" s="30" t="s">
        <v>413</v>
      </c>
      <c r="D1868" s="101" t="s">
        <v>2412</v>
      </c>
      <c r="E1868" s="183"/>
      <c r="F1868" s="99">
        <v>2.024</v>
      </c>
    </row>
    <row r="1869" spans="2:6" x14ac:dyDescent="0.2">
      <c r="B1869" s="101" t="s">
        <v>2393</v>
      </c>
      <c r="C1869" s="30" t="s">
        <v>2398</v>
      </c>
      <c r="D1869" s="101">
        <v>90</v>
      </c>
      <c r="E1869" s="183"/>
      <c r="F1869" s="99">
        <f>1.62-0.05</f>
        <v>1.57</v>
      </c>
    </row>
    <row r="1870" spans="2:6" x14ac:dyDescent="0.2">
      <c r="B1870" s="101" t="s">
        <v>2393</v>
      </c>
      <c r="C1870" s="30" t="s">
        <v>1557</v>
      </c>
      <c r="D1870" s="101">
        <v>40</v>
      </c>
      <c r="E1870" s="183"/>
      <c r="F1870" s="99">
        <v>0.88</v>
      </c>
    </row>
    <row r="1871" spans="2:6" x14ac:dyDescent="0.2">
      <c r="B1871" s="101" t="s">
        <v>2393</v>
      </c>
      <c r="C1871" s="30" t="s">
        <v>1557</v>
      </c>
      <c r="D1871" s="101">
        <v>41</v>
      </c>
      <c r="E1871" s="101"/>
      <c r="F1871" s="99">
        <v>0.04</v>
      </c>
    </row>
    <row r="1872" spans="2:6" x14ac:dyDescent="0.2">
      <c r="B1872" s="101" t="s">
        <v>2393</v>
      </c>
      <c r="C1872" s="30" t="s">
        <v>1505</v>
      </c>
      <c r="D1872" s="101">
        <v>245</v>
      </c>
      <c r="E1872" s="183"/>
      <c r="F1872" s="99">
        <v>1.07</v>
      </c>
    </row>
    <row r="1873" spans="2:6" x14ac:dyDescent="0.2">
      <c r="B1873" s="101" t="s">
        <v>2393</v>
      </c>
      <c r="C1873" s="30" t="s">
        <v>333</v>
      </c>
      <c r="D1873" s="101">
        <v>26</v>
      </c>
      <c r="E1873" s="101"/>
      <c r="F1873" s="99">
        <v>0.05</v>
      </c>
    </row>
    <row r="1874" spans="2:6" x14ac:dyDescent="0.2">
      <c r="B1874" s="101" t="s">
        <v>2393</v>
      </c>
      <c r="C1874" s="30" t="s">
        <v>394</v>
      </c>
      <c r="D1874" s="101">
        <v>16</v>
      </c>
      <c r="E1874" s="25"/>
      <c r="F1874" s="99">
        <f>1.135-0.085</f>
        <v>1.05</v>
      </c>
    </row>
    <row r="1875" spans="2:6" x14ac:dyDescent="0.2">
      <c r="B1875" s="101" t="s">
        <v>2393</v>
      </c>
      <c r="C1875" s="184" t="s">
        <v>1685</v>
      </c>
      <c r="D1875" s="101">
        <v>280</v>
      </c>
      <c r="E1875" s="183"/>
      <c r="F1875" s="99">
        <v>0.88</v>
      </c>
    </row>
    <row r="1876" spans="2:6" x14ac:dyDescent="0.2">
      <c r="B1876" s="101" t="s">
        <v>2393</v>
      </c>
      <c r="C1876" s="30" t="s">
        <v>1601</v>
      </c>
      <c r="D1876" s="101">
        <v>100</v>
      </c>
      <c r="E1876" s="25"/>
      <c r="F1876" s="99">
        <v>0.18</v>
      </c>
    </row>
    <row r="1877" spans="2:6" x14ac:dyDescent="0.2">
      <c r="B1877" s="101" t="s">
        <v>2393</v>
      </c>
      <c r="C1877" s="30" t="s">
        <v>1563</v>
      </c>
      <c r="D1877" s="101">
        <v>50</v>
      </c>
      <c r="E1877" s="25"/>
      <c r="F1877" s="99">
        <v>0.7</v>
      </c>
    </row>
    <row r="1878" spans="2:6" x14ac:dyDescent="0.2">
      <c r="B1878" s="101" t="s">
        <v>2393</v>
      </c>
      <c r="C1878" s="30" t="s">
        <v>1556</v>
      </c>
      <c r="D1878" s="101">
        <v>40</v>
      </c>
      <c r="E1878" s="25"/>
      <c r="F1878" s="99">
        <v>2.15</v>
      </c>
    </row>
    <row r="1879" spans="2:6" x14ac:dyDescent="0.2">
      <c r="B1879" s="101" t="s">
        <v>2393</v>
      </c>
      <c r="C1879" s="30" t="s">
        <v>1556</v>
      </c>
      <c r="D1879" s="101">
        <v>40</v>
      </c>
      <c r="E1879" s="101"/>
      <c r="F1879" s="99">
        <v>0.4</v>
      </c>
    </row>
    <row r="1880" spans="2:6" x14ac:dyDescent="0.2">
      <c r="B1880" s="101" t="s">
        <v>2607</v>
      </c>
      <c r="C1880" s="30" t="s">
        <v>414</v>
      </c>
      <c r="D1880" s="101">
        <v>180</v>
      </c>
      <c r="E1880" s="183"/>
      <c r="F1880" s="99"/>
    </row>
    <row r="1881" spans="2:6" x14ac:dyDescent="0.2">
      <c r="B1881" s="101" t="s">
        <v>2607</v>
      </c>
      <c r="C1881" s="30" t="s">
        <v>414</v>
      </c>
      <c r="D1881" s="101">
        <v>280</v>
      </c>
      <c r="E1881" s="183"/>
      <c r="F1881" s="99">
        <v>0.33</v>
      </c>
    </row>
    <row r="1882" spans="2:6" x14ac:dyDescent="0.2">
      <c r="B1882" s="30" t="s">
        <v>428</v>
      </c>
      <c r="C1882" s="30" t="s">
        <v>427</v>
      </c>
      <c r="D1882" s="30" t="s">
        <v>429</v>
      </c>
      <c r="E1882" s="101"/>
      <c r="F1882" s="99">
        <f>0.124+0.124-0.064-0.07</f>
        <v>0.11399999999999999</v>
      </c>
    </row>
    <row r="1883" spans="2:6" x14ac:dyDescent="0.2">
      <c r="B1883" s="30" t="s">
        <v>428</v>
      </c>
      <c r="C1883" s="30" t="s">
        <v>427</v>
      </c>
      <c r="D1883" s="30" t="s">
        <v>430</v>
      </c>
      <c r="E1883" s="101"/>
      <c r="F1883" s="99">
        <f>0.143+0.143-0.036</f>
        <v>0.24999999999999997</v>
      </c>
    </row>
    <row r="1884" spans="2:6" x14ac:dyDescent="0.2">
      <c r="B1884" s="78" t="s">
        <v>64</v>
      </c>
      <c r="C1884" s="174">
        <v>3</v>
      </c>
      <c r="D1884" s="2" t="s">
        <v>639</v>
      </c>
      <c r="E1884" s="77"/>
      <c r="F1884" s="39">
        <v>0.6</v>
      </c>
    </row>
    <row r="1885" spans="2:6" x14ac:dyDescent="0.2">
      <c r="B1885" s="101" t="s">
        <v>64</v>
      </c>
      <c r="C1885" s="30">
        <v>3</v>
      </c>
      <c r="D1885" s="101" t="s">
        <v>1790</v>
      </c>
      <c r="E1885" s="183"/>
      <c r="F1885" s="99">
        <v>0.44</v>
      </c>
    </row>
    <row r="1886" spans="2:6" x14ac:dyDescent="0.2">
      <c r="B1886" s="101" t="s">
        <v>64</v>
      </c>
      <c r="C1886" s="30">
        <v>3</v>
      </c>
      <c r="D1886" s="101">
        <v>410</v>
      </c>
      <c r="E1886" s="183"/>
      <c r="F1886" s="99">
        <v>0.38</v>
      </c>
    </row>
    <row r="1887" spans="2:6" x14ac:dyDescent="0.2">
      <c r="B1887" s="101" t="s">
        <v>64</v>
      </c>
      <c r="C1887" s="30">
        <v>3</v>
      </c>
      <c r="D1887" s="101">
        <v>450</v>
      </c>
      <c r="E1887" s="183"/>
      <c r="F1887" s="99">
        <v>0.3</v>
      </c>
    </row>
    <row r="1888" spans="2:6" x14ac:dyDescent="0.2">
      <c r="B1888" s="101" t="s">
        <v>64</v>
      </c>
      <c r="C1888" s="30">
        <v>3</v>
      </c>
      <c r="D1888" s="101">
        <v>530</v>
      </c>
      <c r="E1888" s="183"/>
      <c r="F1888" s="99"/>
    </row>
    <row r="1889" spans="2:6" x14ac:dyDescent="0.2">
      <c r="B1889" s="101" t="s">
        <v>64</v>
      </c>
      <c r="C1889" s="30">
        <v>3</v>
      </c>
      <c r="D1889" s="101">
        <v>630</v>
      </c>
      <c r="E1889" s="183"/>
      <c r="F1889" s="99">
        <v>0.54</v>
      </c>
    </row>
    <row r="1890" spans="2:6" x14ac:dyDescent="0.2">
      <c r="B1890" s="101" t="s">
        <v>64</v>
      </c>
      <c r="C1890" s="30">
        <v>5</v>
      </c>
      <c r="D1890" s="101">
        <v>600</v>
      </c>
      <c r="E1890" s="25"/>
      <c r="F1890" s="99">
        <v>0.61</v>
      </c>
    </row>
    <row r="1891" spans="2:6" x14ac:dyDescent="0.2">
      <c r="B1891" s="101" t="s">
        <v>64</v>
      </c>
      <c r="C1891" s="30">
        <v>5</v>
      </c>
      <c r="D1891" s="101">
        <v>610</v>
      </c>
      <c r="E1891" s="183"/>
      <c r="F1891" s="99">
        <v>0.49</v>
      </c>
    </row>
    <row r="1892" spans="2:6" x14ac:dyDescent="0.2">
      <c r="B1892" s="30" t="s">
        <v>64</v>
      </c>
      <c r="C1892" s="30">
        <v>10</v>
      </c>
      <c r="D1892" s="168" t="s">
        <v>508</v>
      </c>
      <c r="E1892" s="101"/>
      <c r="F1892" s="99">
        <f>0.572-0.22</f>
        <v>0.35199999999999998</v>
      </c>
    </row>
    <row r="1893" spans="2:6" x14ac:dyDescent="0.2">
      <c r="B1893" s="101" t="s">
        <v>64</v>
      </c>
      <c r="C1893" s="30">
        <v>10</v>
      </c>
      <c r="D1893" s="101">
        <v>890</v>
      </c>
      <c r="E1893" s="183"/>
      <c r="F1893" s="99">
        <v>2.12</v>
      </c>
    </row>
    <row r="1894" spans="2:6" x14ac:dyDescent="0.2">
      <c r="B1894" s="101" t="s">
        <v>64</v>
      </c>
      <c r="C1894" s="30">
        <v>15</v>
      </c>
      <c r="D1894" s="101">
        <v>690</v>
      </c>
      <c r="E1894" s="183"/>
      <c r="F1894" s="99">
        <v>1.05</v>
      </c>
    </row>
    <row r="1895" spans="2:6" x14ac:dyDescent="0.2">
      <c r="B1895" s="78" t="s">
        <v>64</v>
      </c>
      <c r="C1895" s="174">
        <v>20</v>
      </c>
      <c r="D1895" s="2" t="s">
        <v>67</v>
      </c>
      <c r="E1895" s="77"/>
      <c r="F1895" s="39">
        <v>0.215</v>
      </c>
    </row>
    <row r="1896" spans="2:6" x14ac:dyDescent="0.2">
      <c r="B1896" s="78" t="s">
        <v>64</v>
      </c>
      <c r="C1896" s="174">
        <v>20</v>
      </c>
      <c r="D1896" s="2" t="s">
        <v>79</v>
      </c>
      <c r="E1896" s="77"/>
      <c r="F1896" s="39">
        <v>0.28000000000000003</v>
      </c>
    </row>
    <row r="1897" spans="2:6" x14ac:dyDescent="0.2">
      <c r="B1897" s="30" t="s">
        <v>64</v>
      </c>
      <c r="C1897" s="30">
        <v>20</v>
      </c>
      <c r="D1897" s="30" t="s">
        <v>502</v>
      </c>
      <c r="E1897" s="101"/>
      <c r="F1897" s="34">
        <f>0.936+0.908+0.906+0.946-0.236-0.406-0.252</f>
        <v>2.8019999999999996</v>
      </c>
    </row>
    <row r="1898" spans="2:6" x14ac:dyDescent="0.2">
      <c r="B1898" s="30" t="s">
        <v>64</v>
      </c>
      <c r="C1898" s="30">
        <v>20</v>
      </c>
      <c r="D1898" s="30" t="s">
        <v>503</v>
      </c>
      <c r="E1898" s="101"/>
      <c r="F1898" s="99">
        <f>0.172+0.198-0.172</f>
        <v>0.19800000000000001</v>
      </c>
    </row>
    <row r="1899" spans="2:6" x14ac:dyDescent="0.2">
      <c r="B1899" s="30" t="s">
        <v>64</v>
      </c>
      <c r="C1899" s="30">
        <v>20</v>
      </c>
      <c r="D1899" s="30" t="s">
        <v>504</v>
      </c>
      <c r="E1899" s="101"/>
      <c r="F1899" s="99">
        <v>0.39800000000000002</v>
      </c>
    </row>
    <row r="1900" spans="2:6" x14ac:dyDescent="0.2">
      <c r="B1900" s="30" t="s">
        <v>64</v>
      </c>
      <c r="C1900" s="30">
        <v>20</v>
      </c>
      <c r="D1900" s="30" t="s">
        <v>505</v>
      </c>
      <c r="E1900" s="101"/>
      <c r="F1900" s="34">
        <f>1.114+1.066+1.02+1.07+1.064+1.03+1.048+1.02-0.676-0.145-0.258-1.984-0.062-0.492</f>
        <v>4.8150000000000004</v>
      </c>
    </row>
    <row r="1901" spans="2:6" x14ac:dyDescent="0.2">
      <c r="B1901" s="30" t="s">
        <v>64</v>
      </c>
      <c r="C1901" s="30">
        <v>20</v>
      </c>
      <c r="D1901" s="30" t="s">
        <v>506</v>
      </c>
      <c r="E1901" s="101"/>
      <c r="F1901" s="99">
        <v>0.14199999999999999</v>
      </c>
    </row>
    <row r="1902" spans="2:6" x14ac:dyDescent="0.2">
      <c r="B1902" s="30" t="s">
        <v>64</v>
      </c>
      <c r="C1902" s="30">
        <v>20</v>
      </c>
      <c r="D1902" s="30" t="s">
        <v>507</v>
      </c>
      <c r="E1902" s="101"/>
      <c r="F1902" s="34">
        <v>0.18</v>
      </c>
    </row>
    <row r="1903" spans="2:6" x14ac:dyDescent="0.2">
      <c r="B1903" s="30" t="s">
        <v>64</v>
      </c>
      <c r="C1903" s="30">
        <v>20</v>
      </c>
      <c r="D1903" s="30" t="s">
        <v>509</v>
      </c>
      <c r="E1903" s="101"/>
      <c r="F1903" s="99">
        <v>0.59</v>
      </c>
    </row>
    <row r="1904" spans="2:6" x14ac:dyDescent="0.2">
      <c r="B1904" s="30" t="s">
        <v>64</v>
      </c>
      <c r="C1904" s="30">
        <v>20</v>
      </c>
      <c r="D1904" s="30" t="s">
        <v>327</v>
      </c>
      <c r="E1904" s="101"/>
      <c r="F1904" s="99">
        <f>0.726+0.764+0.77+0.722+0.74+0.764+0.758+0.706+0.726+0.74+0.762+0.706+0.724+0.768+0.77+0.77-0.74-0.172-2.262-3.024-0.192-0.276-0.43-(0.192)-0.726-0.224</f>
        <v>3.6779999999999973</v>
      </c>
    </row>
    <row r="1905" spans="2:6" x14ac:dyDescent="0.2">
      <c r="B1905" s="101" t="s">
        <v>64</v>
      </c>
      <c r="C1905" s="30">
        <v>20</v>
      </c>
      <c r="D1905" s="101">
        <v>360</v>
      </c>
      <c r="E1905" s="183"/>
      <c r="F1905" s="99">
        <f>4.74+4.43</f>
        <v>9.17</v>
      </c>
    </row>
    <row r="1906" spans="2:6" x14ac:dyDescent="0.2">
      <c r="B1906" s="101" t="s">
        <v>64</v>
      </c>
      <c r="C1906" s="30">
        <v>20</v>
      </c>
      <c r="D1906" s="101">
        <v>360</v>
      </c>
      <c r="E1906" s="183"/>
      <c r="F1906" s="99">
        <v>4.7</v>
      </c>
    </row>
    <row r="1907" spans="2:6" x14ac:dyDescent="0.2">
      <c r="B1907" s="101" t="s">
        <v>64</v>
      </c>
      <c r="C1907" s="30">
        <v>20</v>
      </c>
      <c r="D1907" s="101">
        <v>360</v>
      </c>
      <c r="E1907" s="183"/>
      <c r="F1907" s="99">
        <v>1.73</v>
      </c>
    </row>
    <row r="1908" spans="2:6" x14ac:dyDescent="0.2">
      <c r="B1908" s="101" t="s">
        <v>64</v>
      </c>
      <c r="C1908" s="30">
        <v>20</v>
      </c>
      <c r="D1908" s="101">
        <v>360</v>
      </c>
      <c r="E1908" s="183"/>
      <c r="F1908" s="99"/>
    </row>
    <row r="1909" spans="2:6" x14ac:dyDescent="0.2">
      <c r="B1909" s="101" t="s">
        <v>64</v>
      </c>
      <c r="C1909" s="30">
        <v>20</v>
      </c>
      <c r="D1909" s="101">
        <v>370</v>
      </c>
      <c r="E1909" s="183"/>
      <c r="F1909" s="99">
        <f>2.36+3.63</f>
        <v>5.99</v>
      </c>
    </row>
    <row r="1910" spans="2:6" x14ac:dyDescent="0.2">
      <c r="B1910" s="101" t="s">
        <v>64</v>
      </c>
      <c r="C1910" s="30">
        <v>20</v>
      </c>
      <c r="D1910" s="101">
        <v>380</v>
      </c>
      <c r="E1910" s="183"/>
      <c r="F1910" s="99">
        <v>5</v>
      </c>
    </row>
    <row r="1911" spans="2:6" x14ac:dyDescent="0.2">
      <c r="B1911" s="101" t="s">
        <v>64</v>
      </c>
      <c r="C1911" s="30">
        <v>20</v>
      </c>
      <c r="D1911" s="101">
        <v>380</v>
      </c>
      <c r="E1911" s="183"/>
      <c r="F1911" s="99">
        <f>3.59+1.9</f>
        <v>5.49</v>
      </c>
    </row>
    <row r="1912" spans="2:6" x14ac:dyDescent="0.2">
      <c r="B1912" s="101" t="s">
        <v>64</v>
      </c>
      <c r="C1912" s="30">
        <v>20</v>
      </c>
      <c r="D1912" s="101" t="s">
        <v>1791</v>
      </c>
      <c r="E1912" s="183"/>
      <c r="F1912" s="99">
        <v>0.15</v>
      </c>
    </row>
    <row r="1913" spans="2:6" x14ac:dyDescent="0.2">
      <c r="B1913" s="101" t="s">
        <v>64</v>
      </c>
      <c r="C1913" s="30">
        <v>20</v>
      </c>
      <c r="D1913" s="101" t="s">
        <v>1792</v>
      </c>
      <c r="E1913" s="183"/>
      <c r="F1913" s="99">
        <v>0.19500000000000001</v>
      </c>
    </row>
    <row r="1914" spans="2:6" x14ac:dyDescent="0.2">
      <c r="B1914" s="101" t="s">
        <v>64</v>
      </c>
      <c r="C1914" s="30">
        <v>20</v>
      </c>
      <c r="D1914" s="101">
        <v>390</v>
      </c>
      <c r="E1914" s="183"/>
      <c r="F1914" s="99">
        <v>0.16</v>
      </c>
    </row>
    <row r="1915" spans="2:6" x14ac:dyDescent="0.2">
      <c r="B1915" s="101" t="s">
        <v>64</v>
      </c>
      <c r="C1915" s="30">
        <v>20</v>
      </c>
      <c r="D1915" s="101" t="s">
        <v>2518</v>
      </c>
      <c r="E1915" s="183"/>
      <c r="F1915" s="99">
        <v>0.28999999999999998</v>
      </c>
    </row>
    <row r="1916" spans="2:6" x14ac:dyDescent="0.2">
      <c r="B1916" s="101" t="s">
        <v>64</v>
      </c>
      <c r="C1916" s="30">
        <v>20</v>
      </c>
      <c r="D1916" s="101">
        <v>400</v>
      </c>
      <c r="E1916" s="183"/>
      <c r="F1916" s="99">
        <v>5</v>
      </c>
    </row>
    <row r="1917" spans="2:6" x14ac:dyDescent="0.2">
      <c r="B1917" s="101" t="s">
        <v>64</v>
      </c>
      <c r="C1917" s="30">
        <v>20</v>
      </c>
      <c r="D1917" s="101">
        <v>400</v>
      </c>
      <c r="E1917" s="183"/>
      <c r="F1917" s="99">
        <v>2.06</v>
      </c>
    </row>
    <row r="1918" spans="2:6" x14ac:dyDescent="0.2">
      <c r="B1918" s="101" t="s">
        <v>64</v>
      </c>
      <c r="C1918" s="30">
        <v>20</v>
      </c>
      <c r="D1918" s="101">
        <v>400</v>
      </c>
      <c r="E1918" s="183"/>
      <c r="F1918" s="99">
        <v>0.3</v>
      </c>
    </row>
    <row r="1919" spans="2:6" x14ac:dyDescent="0.2">
      <c r="B1919" s="101" t="s">
        <v>64</v>
      </c>
      <c r="C1919" s="30">
        <v>20</v>
      </c>
      <c r="D1919" s="101" t="s">
        <v>1819</v>
      </c>
      <c r="E1919" s="183"/>
      <c r="F1919" s="99">
        <v>0.1</v>
      </c>
    </row>
    <row r="1920" spans="2:6" x14ac:dyDescent="0.2">
      <c r="B1920" s="101" t="s">
        <v>64</v>
      </c>
      <c r="C1920" s="30">
        <v>20</v>
      </c>
      <c r="D1920" s="101">
        <v>410</v>
      </c>
      <c r="E1920" s="183"/>
      <c r="F1920" s="99">
        <f>4.16+0.17</f>
        <v>4.33</v>
      </c>
    </row>
    <row r="1921" spans="2:6" x14ac:dyDescent="0.2">
      <c r="B1921" s="101" t="s">
        <v>64</v>
      </c>
      <c r="C1921" s="30">
        <v>20</v>
      </c>
      <c r="D1921" s="101">
        <v>420</v>
      </c>
      <c r="E1921" s="183"/>
      <c r="F1921" s="99">
        <v>5</v>
      </c>
    </row>
    <row r="1922" spans="2:6" x14ac:dyDescent="0.2">
      <c r="B1922" s="101" t="s">
        <v>64</v>
      </c>
      <c r="C1922" s="30">
        <v>20</v>
      </c>
      <c r="D1922" s="101">
        <v>420</v>
      </c>
      <c r="E1922" s="183"/>
      <c r="F1922" s="99">
        <f>5.2+0.08</f>
        <v>5.28</v>
      </c>
    </row>
    <row r="1923" spans="2:6" x14ac:dyDescent="0.2">
      <c r="B1923" s="101" t="s">
        <v>64</v>
      </c>
      <c r="C1923" s="30">
        <v>20</v>
      </c>
      <c r="D1923" s="101">
        <v>420</v>
      </c>
      <c r="E1923" s="183"/>
      <c r="F1923" s="99">
        <v>4.74</v>
      </c>
    </row>
    <row r="1924" spans="2:6" x14ac:dyDescent="0.2">
      <c r="B1924" s="101" t="s">
        <v>64</v>
      </c>
      <c r="C1924" s="30">
        <v>20</v>
      </c>
      <c r="D1924" s="101">
        <v>420</v>
      </c>
      <c r="E1924" s="183"/>
      <c r="F1924" s="99">
        <v>0.4</v>
      </c>
    </row>
    <row r="1925" spans="2:6" x14ac:dyDescent="0.2">
      <c r="B1925" s="101" t="s">
        <v>64</v>
      </c>
      <c r="C1925" s="30">
        <v>20</v>
      </c>
      <c r="D1925" s="101">
        <v>420</v>
      </c>
      <c r="E1925" s="183"/>
      <c r="F1925" s="99">
        <f>0.16</f>
        <v>0.16</v>
      </c>
    </row>
    <row r="1926" spans="2:6" x14ac:dyDescent="0.2">
      <c r="B1926" s="101" t="s">
        <v>64</v>
      </c>
      <c r="C1926" s="30">
        <v>20</v>
      </c>
      <c r="D1926" s="101">
        <v>420</v>
      </c>
      <c r="E1926" s="183"/>
      <c r="F1926" s="99">
        <v>0.09</v>
      </c>
    </row>
    <row r="1927" spans="2:6" x14ac:dyDescent="0.2">
      <c r="B1927" s="101" t="s">
        <v>64</v>
      </c>
      <c r="C1927" s="30">
        <v>20</v>
      </c>
      <c r="D1927" s="101" t="s">
        <v>1840</v>
      </c>
      <c r="E1927" s="25"/>
      <c r="F1927" s="99">
        <f>2.1-1.48</f>
        <v>0.62000000000000011</v>
      </c>
    </row>
    <row r="1928" spans="2:6" x14ac:dyDescent="0.2">
      <c r="B1928" s="101" t="s">
        <v>64</v>
      </c>
      <c r="C1928" s="30">
        <v>20</v>
      </c>
      <c r="D1928" s="101">
        <v>440</v>
      </c>
      <c r="E1928" s="183"/>
      <c r="F1928" s="99">
        <v>12.56</v>
      </c>
    </row>
    <row r="1929" spans="2:6" x14ac:dyDescent="0.2">
      <c r="B1929" s="101" t="s">
        <v>64</v>
      </c>
      <c r="C1929" s="30">
        <v>20</v>
      </c>
      <c r="D1929" s="101">
        <v>450</v>
      </c>
      <c r="E1929" s="183"/>
      <c r="F1929" s="99">
        <v>6.07</v>
      </c>
    </row>
    <row r="1930" spans="2:6" x14ac:dyDescent="0.2">
      <c r="B1930" s="101" t="s">
        <v>64</v>
      </c>
      <c r="C1930" s="30">
        <v>20</v>
      </c>
      <c r="D1930" s="101">
        <v>450</v>
      </c>
      <c r="E1930" s="183"/>
      <c r="F1930" s="99">
        <v>5.12</v>
      </c>
    </row>
    <row r="1931" spans="2:6" x14ac:dyDescent="0.2">
      <c r="B1931" s="101" t="s">
        <v>64</v>
      </c>
      <c r="C1931" s="30">
        <v>20</v>
      </c>
      <c r="D1931" s="101">
        <v>450</v>
      </c>
      <c r="E1931" s="183"/>
      <c r="F1931" s="99">
        <f>1.64+4.51</f>
        <v>6.1499999999999995</v>
      </c>
    </row>
    <row r="1932" spans="2:6" x14ac:dyDescent="0.2">
      <c r="B1932" s="101" t="s">
        <v>64</v>
      </c>
      <c r="C1932" s="30">
        <v>20</v>
      </c>
      <c r="D1932" s="101">
        <v>450</v>
      </c>
      <c r="E1932" s="183"/>
      <c r="F1932" s="99">
        <v>0.17</v>
      </c>
    </row>
    <row r="1933" spans="2:6" x14ac:dyDescent="0.2">
      <c r="B1933" s="101" t="s">
        <v>64</v>
      </c>
      <c r="C1933" s="30">
        <v>20</v>
      </c>
      <c r="D1933" s="101" t="s">
        <v>1859</v>
      </c>
      <c r="E1933" s="183"/>
      <c r="F1933" s="99">
        <v>0.17</v>
      </c>
    </row>
    <row r="1934" spans="2:6" x14ac:dyDescent="0.2">
      <c r="B1934" s="101" t="s">
        <v>64</v>
      </c>
      <c r="C1934" s="30">
        <v>20</v>
      </c>
      <c r="D1934" s="101">
        <v>450</v>
      </c>
      <c r="E1934" s="183"/>
      <c r="F1934" s="99">
        <v>0.16</v>
      </c>
    </row>
    <row r="1935" spans="2:6" x14ac:dyDescent="0.2">
      <c r="B1935" s="101" t="s">
        <v>64</v>
      </c>
      <c r="C1935" s="30">
        <v>20</v>
      </c>
      <c r="D1935" s="101" t="s">
        <v>1860</v>
      </c>
      <c r="E1935" s="183"/>
      <c r="F1935" s="99">
        <v>0.36</v>
      </c>
    </row>
    <row r="1936" spans="2:6" x14ac:dyDescent="0.2">
      <c r="B1936" s="101" t="s">
        <v>64</v>
      </c>
      <c r="C1936" s="30">
        <v>20</v>
      </c>
      <c r="D1936" s="101">
        <v>455</v>
      </c>
      <c r="E1936" s="25"/>
      <c r="F1936" s="99">
        <f>1.94+0.35</f>
        <v>2.29</v>
      </c>
    </row>
    <row r="1937" spans="2:6" x14ac:dyDescent="0.2">
      <c r="B1937" s="101" t="s">
        <v>64</v>
      </c>
      <c r="C1937" s="30">
        <v>20</v>
      </c>
      <c r="D1937" s="101">
        <v>460</v>
      </c>
      <c r="E1937" s="25"/>
      <c r="F1937" s="99">
        <f>0.42+0.44</f>
        <v>0.86</v>
      </c>
    </row>
    <row r="1938" spans="2:6" x14ac:dyDescent="0.2">
      <c r="B1938" s="101" t="s">
        <v>64</v>
      </c>
      <c r="C1938" s="30">
        <v>20</v>
      </c>
      <c r="D1938" s="101" t="s">
        <v>1873</v>
      </c>
      <c r="E1938" s="183"/>
      <c r="F1938" s="99">
        <v>0.20499999999999999</v>
      </c>
    </row>
    <row r="1939" spans="2:6" x14ac:dyDescent="0.2">
      <c r="B1939" s="101" t="s">
        <v>64</v>
      </c>
      <c r="C1939" s="30">
        <v>20</v>
      </c>
      <c r="D1939" s="101" t="s">
        <v>1874</v>
      </c>
      <c r="E1939" s="183"/>
      <c r="F1939" s="99">
        <v>0.4</v>
      </c>
    </row>
    <row r="1940" spans="2:6" x14ac:dyDescent="0.2">
      <c r="B1940" s="101" t="s">
        <v>64</v>
      </c>
      <c r="C1940" s="30">
        <v>20</v>
      </c>
      <c r="D1940" s="101" t="s">
        <v>1875</v>
      </c>
      <c r="E1940" s="25"/>
      <c r="F1940" s="99">
        <f>2.05+0.54+2.13</f>
        <v>4.72</v>
      </c>
    </row>
    <row r="1941" spans="2:6" x14ac:dyDescent="0.2">
      <c r="B1941" s="101" t="s">
        <v>64</v>
      </c>
      <c r="C1941" s="30">
        <v>20</v>
      </c>
      <c r="D1941" s="101" t="s">
        <v>1877</v>
      </c>
      <c r="E1941" s="25"/>
      <c r="F1941" s="99">
        <f>1.56-0.24-0.245-0.105-0.22-0.12</f>
        <v>0.63000000000000023</v>
      </c>
    </row>
    <row r="1942" spans="2:6" x14ac:dyDescent="0.2">
      <c r="B1942" s="101" t="s">
        <v>64</v>
      </c>
      <c r="C1942" s="30">
        <v>20</v>
      </c>
      <c r="D1942" s="101">
        <v>470</v>
      </c>
      <c r="E1942" s="183"/>
      <c r="F1942" s="99">
        <f>8.59+8.5</f>
        <v>17.09</v>
      </c>
    </row>
    <row r="1943" spans="2:6" x14ac:dyDescent="0.2">
      <c r="B1943" s="101" t="s">
        <v>64</v>
      </c>
      <c r="C1943" s="30">
        <v>20</v>
      </c>
      <c r="D1943" s="101" t="s">
        <v>1893</v>
      </c>
      <c r="E1943" s="183"/>
      <c r="F1943" s="99">
        <v>8.6300000000000008</v>
      </c>
    </row>
    <row r="1944" spans="2:6" x14ac:dyDescent="0.2">
      <c r="B1944" s="101" t="s">
        <v>64</v>
      </c>
      <c r="C1944" s="30">
        <v>20</v>
      </c>
      <c r="D1944" s="101">
        <v>470</v>
      </c>
      <c r="E1944" s="183"/>
      <c r="F1944" s="99">
        <f>1.83+6.92</f>
        <v>8.75</v>
      </c>
    </row>
    <row r="1945" spans="2:6" x14ac:dyDescent="0.2">
      <c r="B1945" s="101" t="s">
        <v>64</v>
      </c>
      <c r="C1945" s="30">
        <v>20</v>
      </c>
      <c r="D1945" s="101">
        <v>480</v>
      </c>
      <c r="E1945" s="183"/>
      <c r="F1945" s="99">
        <v>6.73</v>
      </c>
    </row>
    <row r="1946" spans="2:6" x14ac:dyDescent="0.2">
      <c r="B1946" s="101" t="s">
        <v>64</v>
      </c>
      <c r="C1946" s="30">
        <v>20</v>
      </c>
      <c r="D1946" s="101">
        <v>480</v>
      </c>
      <c r="E1946" s="183"/>
      <c r="F1946" s="99">
        <v>0.36</v>
      </c>
    </row>
    <row r="1947" spans="2:6" x14ac:dyDescent="0.2">
      <c r="B1947" s="101" t="s">
        <v>64</v>
      </c>
      <c r="C1947" s="30">
        <v>20</v>
      </c>
      <c r="D1947" s="101">
        <v>480</v>
      </c>
      <c r="E1947" s="183"/>
      <c r="F1947" s="99">
        <v>0.23</v>
      </c>
    </row>
    <row r="1948" spans="2:6" x14ac:dyDescent="0.2">
      <c r="B1948" s="101" t="s">
        <v>64</v>
      </c>
      <c r="C1948" s="30">
        <v>20</v>
      </c>
      <c r="D1948" s="101" t="s">
        <v>1901</v>
      </c>
      <c r="E1948" s="183"/>
      <c r="F1948" s="99"/>
    </row>
    <row r="1949" spans="2:6" x14ac:dyDescent="0.2">
      <c r="B1949" s="101" t="s">
        <v>64</v>
      </c>
      <c r="C1949" s="30">
        <v>20</v>
      </c>
      <c r="D1949" s="101" t="s">
        <v>1902</v>
      </c>
      <c r="E1949" s="183"/>
      <c r="F1949" s="99">
        <v>0.15</v>
      </c>
    </row>
    <row r="1950" spans="2:6" x14ac:dyDescent="0.2">
      <c r="B1950" s="101" t="s">
        <v>64</v>
      </c>
      <c r="C1950" s="30">
        <v>20</v>
      </c>
      <c r="D1950" s="101">
        <v>490</v>
      </c>
      <c r="E1950" s="183"/>
      <c r="F1950" s="99">
        <v>0.14000000000000001</v>
      </c>
    </row>
    <row r="1951" spans="2:6" x14ac:dyDescent="0.2">
      <c r="B1951" s="101" t="s">
        <v>64</v>
      </c>
      <c r="C1951" s="30">
        <v>20</v>
      </c>
      <c r="D1951" s="101" t="s">
        <v>1908</v>
      </c>
      <c r="E1951" s="183"/>
      <c r="F1951" s="99">
        <f>1.04-0.28</f>
        <v>0.76</v>
      </c>
    </row>
    <row r="1952" spans="2:6" x14ac:dyDescent="0.2">
      <c r="B1952" s="101" t="s">
        <v>64</v>
      </c>
      <c r="C1952" s="30">
        <v>20</v>
      </c>
      <c r="D1952" s="101" t="s">
        <v>2541</v>
      </c>
      <c r="E1952" s="183"/>
      <c r="F1952" s="99">
        <v>8.41</v>
      </c>
    </row>
    <row r="1953" spans="2:6" x14ac:dyDescent="0.2">
      <c r="B1953" s="101" t="s">
        <v>64</v>
      </c>
      <c r="C1953" s="30">
        <v>20</v>
      </c>
      <c r="D1953" s="101">
        <v>500</v>
      </c>
      <c r="E1953" s="183"/>
      <c r="F1953" s="99">
        <v>6.75</v>
      </c>
    </row>
    <row r="1954" spans="2:6" x14ac:dyDescent="0.2">
      <c r="B1954" s="101" t="s">
        <v>64</v>
      </c>
      <c r="C1954" s="30">
        <v>20</v>
      </c>
      <c r="D1954" s="101" t="s">
        <v>1911</v>
      </c>
      <c r="E1954" s="183"/>
      <c r="F1954" s="99">
        <v>0.19</v>
      </c>
    </row>
    <row r="1955" spans="2:6" x14ac:dyDescent="0.2">
      <c r="B1955" s="101" t="s">
        <v>64</v>
      </c>
      <c r="C1955" s="30">
        <v>20</v>
      </c>
      <c r="D1955" s="101">
        <v>510</v>
      </c>
      <c r="E1955" s="183"/>
      <c r="F1955" s="99">
        <f>6.72</f>
        <v>6.72</v>
      </c>
    </row>
    <row r="1956" spans="2:6" x14ac:dyDescent="0.2">
      <c r="B1956" s="101" t="s">
        <v>64</v>
      </c>
      <c r="C1956" s="30">
        <v>20</v>
      </c>
      <c r="D1956" s="101">
        <v>510</v>
      </c>
      <c r="E1956" s="183"/>
      <c r="F1956" s="99"/>
    </row>
    <row r="1957" spans="2:6" x14ac:dyDescent="0.2">
      <c r="B1957" s="101" t="s">
        <v>64</v>
      </c>
      <c r="C1957" s="30">
        <v>20</v>
      </c>
      <c r="D1957" s="101">
        <v>520</v>
      </c>
      <c r="E1957" s="183"/>
      <c r="F1957" s="99">
        <v>5.9</v>
      </c>
    </row>
    <row r="1958" spans="2:6" x14ac:dyDescent="0.2">
      <c r="B1958" s="101" t="s">
        <v>64</v>
      </c>
      <c r="C1958" s="30">
        <v>20</v>
      </c>
      <c r="D1958" s="101">
        <v>520</v>
      </c>
      <c r="E1958" s="183"/>
      <c r="F1958" s="99">
        <v>6.72</v>
      </c>
    </row>
    <row r="1959" spans="2:6" x14ac:dyDescent="0.2">
      <c r="B1959" s="101" t="s">
        <v>64</v>
      </c>
      <c r="C1959" s="30">
        <v>20</v>
      </c>
      <c r="D1959" s="101">
        <v>520</v>
      </c>
      <c r="E1959" s="183"/>
      <c r="F1959" s="99">
        <v>0.5</v>
      </c>
    </row>
    <row r="1960" spans="2:6" x14ac:dyDescent="0.2">
      <c r="B1960" s="101" t="s">
        <v>64</v>
      </c>
      <c r="C1960" s="30">
        <v>20</v>
      </c>
      <c r="D1960" s="101">
        <v>520</v>
      </c>
      <c r="E1960" s="183"/>
      <c r="F1960" s="99">
        <v>0.52</v>
      </c>
    </row>
    <row r="1961" spans="2:6" x14ac:dyDescent="0.2">
      <c r="B1961" s="101" t="s">
        <v>64</v>
      </c>
      <c r="C1961" s="30">
        <v>20</v>
      </c>
      <c r="D1961" s="101" t="s">
        <v>1934</v>
      </c>
      <c r="E1961" s="183"/>
      <c r="F1961" s="99">
        <v>1.06</v>
      </c>
    </row>
    <row r="1962" spans="2:6" x14ac:dyDescent="0.2">
      <c r="B1962" s="101" t="s">
        <v>64</v>
      </c>
      <c r="C1962" s="30">
        <v>20</v>
      </c>
      <c r="D1962" s="101" t="s">
        <v>1935</v>
      </c>
      <c r="E1962" s="183"/>
      <c r="F1962" s="99"/>
    </row>
    <row r="1963" spans="2:6" x14ac:dyDescent="0.2">
      <c r="B1963" s="101" t="s">
        <v>64</v>
      </c>
      <c r="C1963" s="30">
        <v>20</v>
      </c>
      <c r="D1963" s="101">
        <v>530</v>
      </c>
      <c r="E1963" s="183"/>
      <c r="F1963" s="99">
        <f>8.59+1.9</f>
        <v>10.49</v>
      </c>
    </row>
    <row r="1964" spans="2:6" x14ac:dyDescent="0.2">
      <c r="B1964" s="101" t="s">
        <v>64</v>
      </c>
      <c r="C1964" s="30">
        <v>20</v>
      </c>
      <c r="D1964" s="101">
        <v>540</v>
      </c>
      <c r="E1964" s="183"/>
      <c r="F1964" s="99">
        <v>6.81</v>
      </c>
    </row>
    <row r="1965" spans="2:6" x14ac:dyDescent="0.2">
      <c r="B1965" s="101" t="s">
        <v>64</v>
      </c>
      <c r="C1965" s="30">
        <v>20</v>
      </c>
      <c r="D1965" s="101">
        <v>550</v>
      </c>
      <c r="E1965" s="183"/>
      <c r="F1965" s="99">
        <v>7</v>
      </c>
    </row>
    <row r="1966" spans="2:6" x14ac:dyDescent="0.2">
      <c r="B1966" s="101" t="s">
        <v>64</v>
      </c>
      <c r="C1966" s="30">
        <v>20</v>
      </c>
      <c r="D1966" s="101">
        <v>550</v>
      </c>
      <c r="E1966" s="183"/>
      <c r="F1966" s="99">
        <v>2.3199999999999998</v>
      </c>
    </row>
    <row r="1967" spans="2:6" x14ac:dyDescent="0.2">
      <c r="B1967" s="101" t="s">
        <v>64</v>
      </c>
      <c r="C1967" s="30">
        <v>20</v>
      </c>
      <c r="D1967" s="101" t="s">
        <v>1946</v>
      </c>
      <c r="E1967" s="183"/>
      <c r="F1967" s="99">
        <v>1.2</v>
      </c>
    </row>
    <row r="1968" spans="2:6" x14ac:dyDescent="0.2">
      <c r="B1968" s="101" t="s">
        <v>64</v>
      </c>
      <c r="C1968" s="30">
        <v>20</v>
      </c>
      <c r="D1968" s="101" t="s">
        <v>2555</v>
      </c>
      <c r="E1968" s="183"/>
      <c r="F1968" s="99"/>
    </row>
    <row r="1969" spans="2:6" x14ac:dyDescent="0.2">
      <c r="B1969" s="101" t="s">
        <v>64</v>
      </c>
      <c r="C1969" s="30">
        <v>20</v>
      </c>
      <c r="D1969" s="101">
        <v>560</v>
      </c>
      <c r="E1969" s="183"/>
      <c r="F1969" s="99">
        <v>5.72</v>
      </c>
    </row>
    <row r="1970" spans="2:6" x14ac:dyDescent="0.2">
      <c r="B1970" s="101" t="s">
        <v>64</v>
      </c>
      <c r="C1970" s="30">
        <v>20</v>
      </c>
      <c r="D1970" s="101" t="s">
        <v>2559</v>
      </c>
      <c r="E1970" s="25"/>
      <c r="F1970" s="99">
        <v>0.85</v>
      </c>
    </row>
    <row r="1971" spans="2:6" x14ac:dyDescent="0.2">
      <c r="B1971" s="101" t="s">
        <v>64</v>
      </c>
      <c r="C1971" s="30">
        <v>20</v>
      </c>
      <c r="D1971" s="101">
        <v>570</v>
      </c>
      <c r="E1971" s="25"/>
      <c r="F1971" s="99">
        <v>3.67</v>
      </c>
    </row>
    <row r="1972" spans="2:6" x14ac:dyDescent="0.2">
      <c r="B1972" s="101" t="s">
        <v>64</v>
      </c>
      <c r="C1972" s="30">
        <v>20</v>
      </c>
      <c r="D1972" s="101">
        <v>580</v>
      </c>
      <c r="E1972" s="25"/>
      <c r="F1972" s="99">
        <v>6.56</v>
      </c>
    </row>
    <row r="1973" spans="2:6" x14ac:dyDescent="0.2">
      <c r="B1973" s="101" t="s">
        <v>64</v>
      </c>
      <c r="C1973" s="30">
        <v>20</v>
      </c>
      <c r="D1973" s="101">
        <v>580</v>
      </c>
      <c r="E1973" s="183"/>
      <c r="F1973" s="99">
        <v>6.47</v>
      </c>
    </row>
    <row r="1974" spans="2:6" x14ac:dyDescent="0.2">
      <c r="B1974" s="101" t="s">
        <v>64</v>
      </c>
      <c r="C1974" s="30">
        <v>20</v>
      </c>
      <c r="D1974" s="101">
        <v>580</v>
      </c>
      <c r="E1974" s="25"/>
      <c r="F1974" s="99">
        <v>5.73</v>
      </c>
    </row>
    <row r="1975" spans="2:6" x14ac:dyDescent="0.2">
      <c r="B1975" s="101" t="s">
        <v>64</v>
      </c>
      <c r="C1975" s="30">
        <v>20</v>
      </c>
      <c r="D1975" s="101">
        <v>585</v>
      </c>
      <c r="E1975" s="183"/>
      <c r="F1975" s="99">
        <v>0.21</v>
      </c>
    </row>
    <row r="1976" spans="2:6" x14ac:dyDescent="0.2">
      <c r="B1976" s="101" t="s">
        <v>64</v>
      </c>
      <c r="C1976" s="30">
        <v>20</v>
      </c>
      <c r="D1976" s="101" t="s">
        <v>2566</v>
      </c>
      <c r="E1976" s="183"/>
      <c r="F1976" s="99">
        <v>0.23</v>
      </c>
    </row>
    <row r="1977" spans="2:6" x14ac:dyDescent="0.2">
      <c r="B1977" s="101" t="s">
        <v>64</v>
      </c>
      <c r="C1977" s="30">
        <v>20</v>
      </c>
      <c r="D1977" s="101">
        <v>600</v>
      </c>
      <c r="E1977" s="183"/>
      <c r="F1977" s="99">
        <v>8.17</v>
      </c>
    </row>
    <row r="1978" spans="2:6" x14ac:dyDescent="0.2">
      <c r="B1978" s="101" t="s">
        <v>64</v>
      </c>
      <c r="C1978" s="30">
        <v>20</v>
      </c>
      <c r="D1978" s="101">
        <v>600</v>
      </c>
      <c r="E1978" s="25"/>
      <c r="F1978" s="99">
        <v>3.4</v>
      </c>
    </row>
    <row r="1979" spans="2:6" x14ac:dyDescent="0.2">
      <c r="B1979" s="101" t="s">
        <v>64</v>
      </c>
      <c r="C1979" s="30">
        <v>20</v>
      </c>
      <c r="D1979" s="101">
        <v>600</v>
      </c>
      <c r="E1979" s="25"/>
      <c r="F1979" s="99">
        <v>0.89</v>
      </c>
    </row>
    <row r="1980" spans="2:6" x14ac:dyDescent="0.2">
      <c r="B1980" s="101" t="s">
        <v>64</v>
      </c>
      <c r="C1980" s="30">
        <v>20</v>
      </c>
      <c r="D1980" s="101" t="s">
        <v>1982</v>
      </c>
      <c r="E1980" s="183"/>
      <c r="F1980" s="99">
        <v>0.22500000000000001</v>
      </c>
    </row>
    <row r="1981" spans="2:6" x14ac:dyDescent="0.2">
      <c r="B1981" s="101" t="s">
        <v>64</v>
      </c>
      <c r="C1981" s="30">
        <v>20</v>
      </c>
      <c r="D1981" s="101" t="s">
        <v>1983</v>
      </c>
      <c r="E1981" s="25"/>
      <c r="F1981" s="99">
        <v>0.53</v>
      </c>
    </row>
    <row r="1982" spans="2:6" x14ac:dyDescent="0.2">
      <c r="B1982" s="101" t="s">
        <v>64</v>
      </c>
      <c r="C1982" s="30">
        <v>20</v>
      </c>
      <c r="D1982" s="101" t="s">
        <v>1984</v>
      </c>
      <c r="E1982" s="183"/>
      <c r="F1982" s="99">
        <v>0.56000000000000005</v>
      </c>
    </row>
    <row r="1983" spans="2:6" x14ac:dyDescent="0.2">
      <c r="B1983" s="101" t="s">
        <v>64</v>
      </c>
      <c r="C1983" s="30">
        <v>20</v>
      </c>
      <c r="D1983" s="101" t="s">
        <v>1985</v>
      </c>
      <c r="E1983" s="183"/>
      <c r="F1983" s="99"/>
    </row>
    <row r="1984" spans="2:6" x14ac:dyDescent="0.2">
      <c r="B1984" s="101" t="s">
        <v>64</v>
      </c>
      <c r="C1984" s="30">
        <v>20</v>
      </c>
      <c r="D1984" s="101">
        <v>620</v>
      </c>
      <c r="E1984" s="183"/>
      <c r="F1984" s="99">
        <v>6.71</v>
      </c>
    </row>
    <row r="1985" spans="2:6" x14ac:dyDescent="0.2">
      <c r="B1985" s="101" t="s">
        <v>64</v>
      </c>
      <c r="C1985" s="30">
        <v>20</v>
      </c>
      <c r="D1985" s="101">
        <v>620</v>
      </c>
      <c r="E1985" s="183"/>
      <c r="F1985" s="99">
        <f>8.48+8.46</f>
        <v>16.940000000000001</v>
      </c>
    </row>
    <row r="1986" spans="2:6" x14ac:dyDescent="0.2">
      <c r="B1986" s="101" t="s">
        <v>64</v>
      </c>
      <c r="C1986" s="30">
        <v>20</v>
      </c>
      <c r="D1986" s="101" t="s">
        <v>2003</v>
      </c>
      <c r="E1986" s="183"/>
      <c r="F1986" s="99"/>
    </row>
    <row r="1987" spans="2:6" x14ac:dyDescent="0.2">
      <c r="B1987" s="101" t="s">
        <v>64</v>
      </c>
      <c r="C1987" s="30">
        <v>20</v>
      </c>
      <c r="D1987" s="101" t="s">
        <v>2003</v>
      </c>
      <c r="E1987" s="183"/>
      <c r="F1987" s="99"/>
    </row>
    <row r="1988" spans="2:6" x14ac:dyDescent="0.2">
      <c r="B1988" s="101" t="s">
        <v>64</v>
      </c>
      <c r="C1988" s="30">
        <v>20</v>
      </c>
      <c r="D1988" s="101">
        <v>630</v>
      </c>
      <c r="E1988" s="183"/>
      <c r="F1988" s="99">
        <v>5.69</v>
      </c>
    </row>
    <row r="1989" spans="2:6" x14ac:dyDescent="0.2">
      <c r="B1989" s="101" t="s">
        <v>64</v>
      </c>
      <c r="C1989" s="30">
        <v>20</v>
      </c>
      <c r="D1989" s="101">
        <v>630</v>
      </c>
      <c r="E1989" s="183"/>
      <c r="F1989" s="99">
        <v>0.56999999999999995</v>
      </c>
    </row>
    <row r="1990" spans="2:6" x14ac:dyDescent="0.2">
      <c r="B1990" s="101" t="s">
        <v>64</v>
      </c>
      <c r="C1990" s="30">
        <v>20</v>
      </c>
      <c r="D1990" s="101">
        <v>630</v>
      </c>
      <c r="E1990" s="183"/>
      <c r="F1990" s="99">
        <v>0.32</v>
      </c>
    </row>
    <row r="1991" spans="2:6" x14ac:dyDescent="0.2">
      <c r="B1991" s="101" t="s">
        <v>64</v>
      </c>
      <c r="C1991" s="30">
        <v>20</v>
      </c>
      <c r="D1991" s="101">
        <v>640</v>
      </c>
      <c r="E1991" s="25"/>
      <c r="F1991" s="99">
        <v>6.89</v>
      </c>
    </row>
    <row r="1992" spans="2:6" x14ac:dyDescent="0.2">
      <c r="B1992" s="101" t="s">
        <v>64</v>
      </c>
      <c r="C1992" s="30">
        <v>20</v>
      </c>
      <c r="D1992" s="101">
        <v>640</v>
      </c>
      <c r="E1992" s="25"/>
      <c r="F1992" s="99">
        <v>2.91</v>
      </c>
    </row>
    <row r="1993" spans="2:6" x14ac:dyDescent="0.2">
      <c r="B1993" s="101" t="s">
        <v>64</v>
      </c>
      <c r="C1993" s="30">
        <v>20</v>
      </c>
      <c r="D1993" s="101">
        <v>640</v>
      </c>
      <c r="E1993" s="25"/>
      <c r="F1993" s="99">
        <v>0.25</v>
      </c>
    </row>
    <row r="1994" spans="2:6" x14ac:dyDescent="0.2">
      <c r="B1994" s="101" t="s">
        <v>64</v>
      </c>
      <c r="C1994" s="30">
        <v>20</v>
      </c>
      <c r="D1994" s="101" t="s">
        <v>2019</v>
      </c>
      <c r="E1994" s="25"/>
      <c r="F1994" s="99">
        <v>0.68</v>
      </c>
    </row>
    <row r="1995" spans="2:6" x14ac:dyDescent="0.2">
      <c r="B1995" s="101" t="s">
        <v>64</v>
      </c>
      <c r="C1995" s="30">
        <v>20</v>
      </c>
      <c r="D1995" s="101" t="s">
        <v>2575</v>
      </c>
      <c r="E1995" s="25"/>
      <c r="F1995" s="99">
        <v>0.43</v>
      </c>
    </row>
    <row r="1996" spans="2:6" x14ac:dyDescent="0.2">
      <c r="B1996" s="101" t="s">
        <v>64</v>
      </c>
      <c r="C1996" s="30">
        <v>20</v>
      </c>
      <c r="D1996" s="101" t="s">
        <v>2020</v>
      </c>
      <c r="E1996" s="25"/>
      <c r="F1996" s="99">
        <v>0.71</v>
      </c>
    </row>
    <row r="1997" spans="2:6" x14ac:dyDescent="0.2">
      <c r="B1997" s="101" t="s">
        <v>64</v>
      </c>
      <c r="C1997" s="30">
        <v>20</v>
      </c>
      <c r="D1997" s="101">
        <v>650</v>
      </c>
      <c r="E1997" s="25"/>
      <c r="F1997" s="99">
        <v>2.94</v>
      </c>
    </row>
    <row r="1998" spans="2:6" x14ac:dyDescent="0.2">
      <c r="B1998" s="101" t="s">
        <v>64</v>
      </c>
      <c r="C1998" s="30">
        <v>20</v>
      </c>
      <c r="D1998" s="101">
        <v>650</v>
      </c>
      <c r="E1998" s="183"/>
      <c r="F1998" s="99">
        <v>0.77</v>
      </c>
    </row>
    <row r="1999" spans="2:6" x14ac:dyDescent="0.2">
      <c r="B1999" s="101" t="s">
        <v>64</v>
      </c>
      <c r="C1999" s="30">
        <v>20</v>
      </c>
      <c r="D1999" s="101">
        <v>660</v>
      </c>
      <c r="E1999" s="183"/>
      <c r="F1999" s="99">
        <v>6.24</v>
      </c>
    </row>
    <row r="2000" spans="2:6" x14ac:dyDescent="0.2">
      <c r="B2000" s="101" t="s">
        <v>64</v>
      </c>
      <c r="C2000" s="30">
        <v>20</v>
      </c>
      <c r="D2000" s="101">
        <v>660</v>
      </c>
      <c r="E2000" s="183"/>
      <c r="F2000" s="99">
        <f>6.23+5.64</f>
        <v>11.870000000000001</v>
      </c>
    </row>
    <row r="2001" spans="2:6" x14ac:dyDescent="0.2">
      <c r="B2001" s="101" t="s">
        <v>64</v>
      </c>
      <c r="C2001" s="30">
        <v>20</v>
      </c>
      <c r="D2001" s="101">
        <v>660</v>
      </c>
      <c r="E2001" s="183"/>
      <c r="F2001" s="99">
        <v>5.27</v>
      </c>
    </row>
    <row r="2002" spans="2:6" x14ac:dyDescent="0.2">
      <c r="B2002" s="101" t="s">
        <v>64</v>
      </c>
      <c r="C2002" s="30">
        <v>20</v>
      </c>
      <c r="D2002" s="101">
        <v>670</v>
      </c>
      <c r="E2002" s="183"/>
      <c r="F2002" s="99">
        <f>6.64</f>
        <v>6.64</v>
      </c>
    </row>
    <row r="2003" spans="2:6" x14ac:dyDescent="0.2">
      <c r="B2003" s="101" t="s">
        <v>64</v>
      </c>
      <c r="C2003" s="30">
        <v>20</v>
      </c>
      <c r="D2003" s="101">
        <v>670</v>
      </c>
      <c r="E2003" s="183"/>
      <c r="F2003" s="99">
        <v>5.86</v>
      </c>
    </row>
    <row r="2004" spans="2:6" x14ac:dyDescent="0.2">
      <c r="B2004" s="101" t="s">
        <v>64</v>
      </c>
      <c r="C2004" s="30">
        <v>20</v>
      </c>
      <c r="D2004" s="101">
        <v>670</v>
      </c>
      <c r="E2004" s="183"/>
      <c r="F2004" s="99">
        <v>4.58</v>
      </c>
    </row>
    <row r="2005" spans="2:6" x14ac:dyDescent="0.2">
      <c r="B2005" s="101" t="s">
        <v>64</v>
      </c>
      <c r="C2005" s="30">
        <v>20</v>
      </c>
      <c r="D2005" s="101">
        <v>680</v>
      </c>
      <c r="E2005" s="183"/>
      <c r="F2005" s="99">
        <v>0.5</v>
      </c>
    </row>
    <row r="2006" spans="2:6" x14ac:dyDescent="0.2">
      <c r="B2006" s="101" t="s">
        <v>64</v>
      </c>
      <c r="C2006" s="30">
        <v>20</v>
      </c>
      <c r="D2006" s="101">
        <v>680</v>
      </c>
      <c r="E2006" s="183"/>
      <c r="F2006" s="99">
        <v>1.875</v>
      </c>
    </row>
    <row r="2007" spans="2:6" x14ac:dyDescent="0.2">
      <c r="B2007" s="101" t="s">
        <v>64</v>
      </c>
      <c r="C2007" s="30">
        <v>20</v>
      </c>
      <c r="D2007" s="101">
        <v>680</v>
      </c>
      <c r="E2007" s="183"/>
      <c r="F2007" s="99">
        <v>0.16</v>
      </c>
    </row>
    <row r="2008" spans="2:6" x14ac:dyDescent="0.2">
      <c r="B2008" s="101" t="s">
        <v>64</v>
      </c>
      <c r="C2008" s="30">
        <v>20</v>
      </c>
      <c r="D2008" s="101">
        <v>700</v>
      </c>
      <c r="E2008" s="183"/>
      <c r="F2008" s="99">
        <v>7.07</v>
      </c>
    </row>
    <row r="2009" spans="2:6" x14ac:dyDescent="0.2">
      <c r="B2009" s="101" t="s">
        <v>64</v>
      </c>
      <c r="C2009" s="30">
        <v>20</v>
      </c>
      <c r="D2009" s="101">
        <v>700</v>
      </c>
      <c r="E2009" s="183"/>
      <c r="F2009" s="99">
        <v>5.93</v>
      </c>
    </row>
    <row r="2010" spans="2:6" x14ac:dyDescent="0.2">
      <c r="B2010" s="101" t="s">
        <v>64</v>
      </c>
      <c r="C2010" s="30">
        <v>20</v>
      </c>
      <c r="D2010" s="101">
        <v>700</v>
      </c>
      <c r="E2010" s="183"/>
      <c r="F2010" s="99">
        <v>3.7</v>
      </c>
    </row>
    <row r="2011" spans="2:6" x14ac:dyDescent="0.2">
      <c r="B2011" s="101" t="s">
        <v>64</v>
      </c>
      <c r="C2011" s="30">
        <v>20</v>
      </c>
      <c r="D2011" s="101" t="s">
        <v>2062</v>
      </c>
      <c r="E2011" s="183"/>
      <c r="F2011" s="99">
        <v>0.76</v>
      </c>
    </row>
    <row r="2012" spans="2:6" x14ac:dyDescent="0.2">
      <c r="B2012" s="101" t="s">
        <v>64</v>
      </c>
      <c r="C2012" s="30">
        <v>20</v>
      </c>
      <c r="D2012" s="101">
        <v>720</v>
      </c>
      <c r="E2012" s="183"/>
      <c r="F2012" s="99">
        <v>8.6999999999999993</v>
      </c>
    </row>
    <row r="2013" spans="2:6" x14ac:dyDescent="0.2">
      <c r="B2013" s="101" t="s">
        <v>64</v>
      </c>
      <c r="C2013" s="30">
        <v>20</v>
      </c>
      <c r="D2013" s="101">
        <v>720</v>
      </c>
      <c r="E2013" s="25"/>
      <c r="F2013" s="99">
        <v>6.42</v>
      </c>
    </row>
    <row r="2014" spans="2:6" x14ac:dyDescent="0.2">
      <c r="B2014" s="101" t="s">
        <v>64</v>
      </c>
      <c r="C2014" s="30">
        <v>20</v>
      </c>
      <c r="D2014" s="101" t="s">
        <v>2078</v>
      </c>
      <c r="E2014" s="183"/>
      <c r="F2014" s="99">
        <v>6.02</v>
      </c>
    </row>
    <row r="2015" spans="2:6" x14ac:dyDescent="0.2">
      <c r="B2015" s="101" t="s">
        <v>64</v>
      </c>
      <c r="C2015" s="30">
        <v>20</v>
      </c>
      <c r="D2015" s="101">
        <v>730</v>
      </c>
      <c r="E2015" s="183"/>
      <c r="F2015" s="99">
        <v>1.34</v>
      </c>
    </row>
    <row r="2016" spans="2:6" x14ac:dyDescent="0.2">
      <c r="B2016" s="101" t="s">
        <v>64</v>
      </c>
      <c r="C2016" s="30">
        <v>20</v>
      </c>
      <c r="D2016" s="101" t="s">
        <v>2087</v>
      </c>
      <c r="E2016" s="183"/>
      <c r="F2016" s="99">
        <v>0.25</v>
      </c>
    </row>
    <row r="2017" spans="2:6" x14ac:dyDescent="0.2">
      <c r="B2017" s="101" t="s">
        <v>64</v>
      </c>
      <c r="C2017" s="30">
        <v>20</v>
      </c>
      <c r="D2017" s="101">
        <v>740</v>
      </c>
      <c r="E2017" s="183"/>
      <c r="F2017" s="99">
        <v>1.97</v>
      </c>
    </row>
    <row r="2018" spans="2:6" x14ac:dyDescent="0.2">
      <c r="B2018" s="101" t="s">
        <v>64</v>
      </c>
      <c r="C2018" s="30">
        <v>20</v>
      </c>
      <c r="D2018" s="101">
        <v>760</v>
      </c>
      <c r="E2018" s="183"/>
      <c r="F2018" s="99">
        <v>0.5</v>
      </c>
    </row>
    <row r="2019" spans="2:6" x14ac:dyDescent="0.2">
      <c r="B2019" s="101" t="s">
        <v>64</v>
      </c>
      <c r="C2019" s="30">
        <v>20</v>
      </c>
      <c r="D2019" s="101" t="s">
        <v>2102</v>
      </c>
      <c r="E2019" s="183"/>
      <c r="F2019" s="99">
        <v>1.19</v>
      </c>
    </row>
    <row r="2020" spans="2:6" x14ac:dyDescent="0.2">
      <c r="B2020" s="101" t="s">
        <v>64</v>
      </c>
      <c r="C2020" s="30">
        <v>20</v>
      </c>
      <c r="D2020" s="101" t="s">
        <v>2111</v>
      </c>
      <c r="E2020" s="183"/>
      <c r="F2020" s="99">
        <v>5.57</v>
      </c>
    </row>
    <row r="2021" spans="2:6" x14ac:dyDescent="0.2">
      <c r="B2021" s="101" t="s">
        <v>64</v>
      </c>
      <c r="C2021" s="30">
        <v>20</v>
      </c>
      <c r="D2021" s="101" t="s">
        <v>2112</v>
      </c>
      <c r="E2021" s="183"/>
      <c r="F2021" s="99">
        <v>0.62</v>
      </c>
    </row>
    <row r="2022" spans="2:6" x14ac:dyDescent="0.2">
      <c r="B2022" s="101" t="s">
        <v>64</v>
      </c>
      <c r="C2022" s="30">
        <v>20</v>
      </c>
      <c r="D2022" s="101" t="s">
        <v>2113</v>
      </c>
      <c r="E2022" s="183"/>
      <c r="F2022" s="99"/>
    </row>
    <row r="2023" spans="2:6" x14ac:dyDescent="0.2">
      <c r="B2023" s="101" t="s">
        <v>64</v>
      </c>
      <c r="C2023" s="30">
        <v>20</v>
      </c>
      <c r="D2023" s="101">
        <v>780</v>
      </c>
      <c r="E2023" s="183"/>
      <c r="F2023" s="99">
        <v>8.77</v>
      </c>
    </row>
    <row r="2024" spans="2:6" x14ac:dyDescent="0.2">
      <c r="B2024" s="101" t="s">
        <v>64</v>
      </c>
      <c r="C2024" s="30">
        <v>20</v>
      </c>
      <c r="D2024" s="101">
        <v>800</v>
      </c>
      <c r="E2024" s="25"/>
      <c r="F2024" s="99">
        <v>7.8</v>
      </c>
    </row>
    <row r="2025" spans="2:6" x14ac:dyDescent="0.2">
      <c r="B2025" s="101" t="s">
        <v>64</v>
      </c>
      <c r="C2025" s="30">
        <v>20</v>
      </c>
      <c r="D2025" s="101">
        <v>810</v>
      </c>
      <c r="E2025" s="183"/>
      <c r="F2025" s="99">
        <v>3.04</v>
      </c>
    </row>
    <row r="2026" spans="2:6" x14ac:dyDescent="0.2">
      <c r="B2026" s="101" t="s">
        <v>64</v>
      </c>
      <c r="C2026" s="30">
        <v>20</v>
      </c>
      <c r="D2026" s="101">
        <v>820</v>
      </c>
      <c r="E2026" s="183"/>
      <c r="F2026" s="99">
        <v>8.77</v>
      </c>
    </row>
    <row r="2027" spans="2:6" x14ac:dyDescent="0.2">
      <c r="B2027" s="101" t="s">
        <v>64</v>
      </c>
      <c r="C2027" s="30">
        <v>20</v>
      </c>
      <c r="D2027" s="101">
        <v>820</v>
      </c>
      <c r="E2027" s="183"/>
      <c r="F2027" s="99">
        <v>6.24</v>
      </c>
    </row>
    <row r="2028" spans="2:6" x14ac:dyDescent="0.2">
      <c r="B2028" s="101" t="s">
        <v>64</v>
      </c>
      <c r="C2028" s="30">
        <v>20</v>
      </c>
      <c r="D2028" s="101" t="s">
        <v>2141</v>
      </c>
      <c r="E2028" s="183"/>
      <c r="F2028" s="99">
        <v>0.64500000000000002</v>
      </c>
    </row>
    <row r="2029" spans="2:6" x14ac:dyDescent="0.2">
      <c r="B2029" s="101" t="s">
        <v>64</v>
      </c>
      <c r="C2029" s="30">
        <v>20</v>
      </c>
      <c r="D2029" s="101">
        <v>850</v>
      </c>
      <c r="E2029" s="183"/>
      <c r="F2029" s="99">
        <v>1.21</v>
      </c>
    </row>
    <row r="2030" spans="2:6" x14ac:dyDescent="0.2">
      <c r="B2030" s="101" t="s">
        <v>64</v>
      </c>
      <c r="C2030" s="30">
        <v>20</v>
      </c>
      <c r="D2030" s="101" t="s">
        <v>2146</v>
      </c>
      <c r="E2030" s="183"/>
      <c r="F2030" s="99">
        <f>0.68+0.59</f>
        <v>1.27</v>
      </c>
    </row>
    <row r="2031" spans="2:6" x14ac:dyDescent="0.2">
      <c r="B2031" s="101" t="s">
        <v>64</v>
      </c>
      <c r="C2031" s="30">
        <v>20</v>
      </c>
      <c r="D2031" s="101">
        <v>860</v>
      </c>
      <c r="E2031" s="183"/>
      <c r="F2031" s="99">
        <v>2.0299999999999998</v>
      </c>
    </row>
    <row r="2032" spans="2:6" x14ac:dyDescent="0.2">
      <c r="B2032" s="101" t="s">
        <v>64</v>
      </c>
      <c r="C2032" s="30">
        <v>20</v>
      </c>
      <c r="D2032" s="101" t="s">
        <v>2158</v>
      </c>
      <c r="E2032" s="183"/>
      <c r="F2032" s="99">
        <v>1.22</v>
      </c>
    </row>
    <row r="2033" spans="2:6" x14ac:dyDescent="0.2">
      <c r="B2033" s="101" t="s">
        <v>64</v>
      </c>
      <c r="C2033" s="30">
        <v>20</v>
      </c>
      <c r="D2033" s="101">
        <v>900</v>
      </c>
      <c r="E2033" s="183"/>
      <c r="F2033" s="99">
        <v>6.06</v>
      </c>
    </row>
    <row r="2034" spans="2:6" x14ac:dyDescent="0.2">
      <c r="B2034" s="101" t="s">
        <v>64</v>
      </c>
      <c r="C2034" s="30">
        <v>20</v>
      </c>
      <c r="D2034" s="101">
        <v>900</v>
      </c>
      <c r="E2034" s="183"/>
      <c r="F2034" s="99">
        <f>1.5+1.36</f>
        <v>2.8600000000000003</v>
      </c>
    </row>
    <row r="2035" spans="2:6" x14ac:dyDescent="0.2">
      <c r="B2035" s="101" t="s">
        <v>64</v>
      </c>
      <c r="C2035" s="30">
        <v>20</v>
      </c>
      <c r="D2035" s="101" t="s">
        <v>2176</v>
      </c>
      <c r="E2035" s="183"/>
      <c r="F2035" s="99">
        <v>0.66</v>
      </c>
    </row>
    <row r="2036" spans="2:6" x14ac:dyDescent="0.2">
      <c r="B2036" s="101" t="s">
        <v>64</v>
      </c>
      <c r="C2036" s="30">
        <v>20</v>
      </c>
      <c r="D2036" s="101" t="s">
        <v>2195</v>
      </c>
      <c r="E2036" s="183"/>
      <c r="F2036" s="99">
        <v>1.75</v>
      </c>
    </row>
    <row r="2037" spans="2:6" x14ac:dyDescent="0.2">
      <c r="B2037" s="101" t="s">
        <v>64</v>
      </c>
      <c r="C2037" s="30">
        <v>20</v>
      </c>
      <c r="D2037" s="101" t="s">
        <v>2201</v>
      </c>
      <c r="E2037" s="183"/>
      <c r="F2037" s="99">
        <v>0.80500000000000005</v>
      </c>
    </row>
    <row r="2038" spans="2:6" x14ac:dyDescent="0.2">
      <c r="B2038" s="101" t="s">
        <v>64</v>
      </c>
      <c r="C2038" s="30">
        <v>20</v>
      </c>
      <c r="D2038" s="101" t="s">
        <v>2225</v>
      </c>
      <c r="E2038" s="183"/>
      <c r="F2038" s="99">
        <v>0.8</v>
      </c>
    </row>
    <row r="2039" spans="2:6" x14ac:dyDescent="0.2">
      <c r="B2039" s="101" t="s">
        <v>64</v>
      </c>
      <c r="C2039" s="30">
        <v>20</v>
      </c>
      <c r="D2039" s="101">
        <v>950</v>
      </c>
      <c r="E2039" s="183"/>
      <c r="F2039" s="99">
        <v>1.65</v>
      </c>
    </row>
    <row r="2040" spans="2:6" x14ac:dyDescent="0.2">
      <c r="B2040" s="101" t="s">
        <v>64</v>
      </c>
      <c r="C2040" s="30">
        <v>20</v>
      </c>
      <c r="D2040" s="101" t="s">
        <v>2234</v>
      </c>
      <c r="E2040" s="183"/>
      <c r="F2040" s="99">
        <f>8.2-0.81-0.82</f>
        <v>6.5699999999999985</v>
      </c>
    </row>
    <row r="2041" spans="2:6" x14ac:dyDescent="0.2">
      <c r="B2041" s="101" t="s">
        <v>64</v>
      </c>
      <c r="C2041" s="30">
        <v>20</v>
      </c>
      <c r="D2041" s="101" t="s">
        <v>2242</v>
      </c>
      <c r="E2041" s="183"/>
      <c r="F2041" s="99">
        <f>5.1-0.85-1.01</f>
        <v>3.24</v>
      </c>
    </row>
    <row r="2042" spans="2:6" x14ac:dyDescent="0.2">
      <c r="B2042" s="101" t="s">
        <v>64</v>
      </c>
      <c r="C2042" s="30">
        <v>20</v>
      </c>
      <c r="D2042" s="101">
        <v>970</v>
      </c>
      <c r="E2042" s="183"/>
      <c r="F2042" s="99">
        <v>1.65</v>
      </c>
    </row>
    <row r="2043" spans="2:6" x14ac:dyDescent="0.2">
      <c r="B2043" s="101" t="s">
        <v>64</v>
      </c>
      <c r="C2043" s="30">
        <v>20</v>
      </c>
      <c r="D2043" s="101" t="s">
        <v>2258</v>
      </c>
      <c r="E2043" s="183"/>
      <c r="F2043" s="99">
        <v>5.88</v>
      </c>
    </row>
    <row r="2044" spans="2:6" x14ac:dyDescent="0.2">
      <c r="B2044" s="101" t="s">
        <v>64</v>
      </c>
      <c r="C2044" s="30">
        <v>20</v>
      </c>
      <c r="D2044" s="101" t="s">
        <v>2263</v>
      </c>
      <c r="E2044" s="183"/>
      <c r="F2044" s="99">
        <v>0.86</v>
      </c>
    </row>
    <row r="2045" spans="2:6" x14ac:dyDescent="0.2">
      <c r="B2045" s="101" t="s">
        <v>64</v>
      </c>
      <c r="C2045" s="30">
        <v>20</v>
      </c>
      <c r="D2045" s="101" t="s">
        <v>2264</v>
      </c>
      <c r="E2045" s="183"/>
      <c r="F2045" s="99">
        <v>1.01</v>
      </c>
    </row>
    <row r="2046" spans="2:6" x14ac:dyDescent="0.2">
      <c r="B2046" s="101" t="s">
        <v>64</v>
      </c>
      <c r="C2046" s="30">
        <v>20</v>
      </c>
      <c r="D2046" s="101" t="s">
        <v>2264</v>
      </c>
      <c r="E2046" s="183"/>
      <c r="F2046" s="99">
        <v>0.97499999999999998</v>
      </c>
    </row>
    <row r="2047" spans="2:6" x14ac:dyDescent="0.2">
      <c r="B2047" s="101" t="s">
        <v>64</v>
      </c>
      <c r="C2047" s="30">
        <v>20</v>
      </c>
      <c r="D2047" s="101">
        <v>1000</v>
      </c>
      <c r="E2047" s="183"/>
      <c r="F2047" s="99">
        <v>7.17</v>
      </c>
    </row>
    <row r="2048" spans="2:6" x14ac:dyDescent="0.2">
      <c r="B2048" s="101" t="s">
        <v>64</v>
      </c>
      <c r="C2048" s="30">
        <v>20</v>
      </c>
      <c r="D2048" s="101">
        <v>1000</v>
      </c>
      <c r="E2048" s="183"/>
      <c r="F2048" s="99">
        <v>1.68</v>
      </c>
    </row>
    <row r="2049" spans="2:6" x14ac:dyDescent="0.2">
      <c r="B2049" s="101" t="s">
        <v>64</v>
      </c>
      <c r="C2049" s="30">
        <v>20</v>
      </c>
      <c r="D2049" s="101" t="s">
        <v>2267</v>
      </c>
      <c r="E2049" s="183"/>
      <c r="F2049" s="99">
        <v>1.44</v>
      </c>
    </row>
    <row r="2050" spans="2:6" x14ac:dyDescent="0.2">
      <c r="B2050" s="101" t="s">
        <v>64</v>
      </c>
      <c r="C2050" s="30">
        <v>20</v>
      </c>
      <c r="D2050" s="101" t="s">
        <v>2268</v>
      </c>
      <c r="E2050" s="183"/>
      <c r="F2050" s="99">
        <v>0.66</v>
      </c>
    </row>
    <row r="2051" spans="2:6" x14ac:dyDescent="0.2">
      <c r="B2051" s="101" t="s">
        <v>64</v>
      </c>
      <c r="C2051" s="30">
        <v>20</v>
      </c>
      <c r="D2051" s="101" t="s">
        <v>2268</v>
      </c>
      <c r="E2051" s="183"/>
      <c r="F2051" s="99">
        <v>0.96</v>
      </c>
    </row>
    <row r="2052" spans="2:6" x14ac:dyDescent="0.2">
      <c r="B2052" s="101" t="s">
        <v>64</v>
      </c>
      <c r="C2052" s="30">
        <v>20</v>
      </c>
      <c r="D2052" s="101" t="s">
        <v>2269</v>
      </c>
      <c r="E2052" s="183"/>
      <c r="F2052" s="99">
        <v>1.08</v>
      </c>
    </row>
    <row r="2053" spans="2:6" x14ac:dyDescent="0.2">
      <c r="B2053" s="101" t="s">
        <v>64</v>
      </c>
      <c r="C2053" s="30">
        <v>20</v>
      </c>
      <c r="D2053" s="101" t="s">
        <v>2287</v>
      </c>
      <c r="E2053" s="183"/>
      <c r="F2053" s="99">
        <v>1.06</v>
      </c>
    </row>
    <row r="2054" spans="2:6" x14ac:dyDescent="0.2">
      <c r="B2054" s="101" t="s">
        <v>64</v>
      </c>
      <c r="C2054" s="30">
        <v>20</v>
      </c>
      <c r="D2054" s="101" t="s">
        <v>2288</v>
      </c>
      <c r="E2054" s="183"/>
      <c r="F2054" s="99">
        <v>0.45</v>
      </c>
    </row>
    <row r="2055" spans="2:6" x14ac:dyDescent="0.2">
      <c r="B2055" s="101" t="s">
        <v>64</v>
      </c>
      <c r="C2055" s="30">
        <v>20</v>
      </c>
      <c r="D2055" s="101" t="s">
        <v>2292</v>
      </c>
      <c r="E2055" s="183"/>
      <c r="F2055" s="99">
        <v>1.72</v>
      </c>
    </row>
    <row r="2056" spans="2:6" x14ac:dyDescent="0.2">
      <c r="B2056" s="101" t="s">
        <v>64</v>
      </c>
      <c r="C2056" s="30">
        <v>20</v>
      </c>
      <c r="D2056" s="101" t="s">
        <v>2295</v>
      </c>
      <c r="E2056" s="183"/>
      <c r="F2056" s="99"/>
    </row>
    <row r="2057" spans="2:6" x14ac:dyDescent="0.2">
      <c r="B2057" s="101" t="s">
        <v>64</v>
      </c>
      <c r="C2057" s="30">
        <v>20</v>
      </c>
      <c r="D2057" s="101" t="s">
        <v>2296</v>
      </c>
      <c r="E2057" s="183"/>
      <c r="F2057" s="99">
        <v>0.78</v>
      </c>
    </row>
    <row r="2058" spans="2:6" x14ac:dyDescent="0.2">
      <c r="B2058" s="101" t="s">
        <v>64</v>
      </c>
      <c r="C2058" s="30">
        <v>20</v>
      </c>
      <c r="D2058" s="101" t="s">
        <v>2301</v>
      </c>
      <c r="E2058" s="183"/>
      <c r="F2058" s="99">
        <v>1.96</v>
      </c>
    </row>
    <row r="2059" spans="2:6" x14ac:dyDescent="0.2">
      <c r="B2059" s="101" t="s">
        <v>64</v>
      </c>
      <c r="C2059" s="30">
        <v>20</v>
      </c>
      <c r="D2059" s="101" t="s">
        <v>2302</v>
      </c>
      <c r="E2059" s="183"/>
      <c r="F2059" s="99">
        <v>1.94</v>
      </c>
    </row>
    <row r="2060" spans="2:6" x14ac:dyDescent="0.2">
      <c r="B2060" s="101" t="s">
        <v>64</v>
      </c>
      <c r="C2060" s="30">
        <v>20</v>
      </c>
      <c r="D2060" s="101" t="s">
        <v>2310</v>
      </c>
      <c r="E2060" s="183"/>
      <c r="F2060" s="99">
        <v>0.4</v>
      </c>
    </row>
    <row r="2061" spans="2:6" x14ac:dyDescent="0.2">
      <c r="B2061" s="101" t="s">
        <v>64</v>
      </c>
      <c r="C2061" s="30">
        <v>20</v>
      </c>
      <c r="D2061" s="101">
        <v>1100</v>
      </c>
      <c r="E2061" s="183"/>
      <c r="F2061" s="99">
        <v>2</v>
      </c>
    </row>
    <row r="2062" spans="2:6" x14ac:dyDescent="0.2">
      <c r="B2062" s="101" t="s">
        <v>64</v>
      </c>
      <c r="C2062" s="30">
        <v>20</v>
      </c>
      <c r="D2062" s="101" t="s">
        <v>2319</v>
      </c>
      <c r="E2062" s="183"/>
      <c r="F2062" s="99">
        <v>7.81</v>
      </c>
    </row>
    <row r="2063" spans="2:6" x14ac:dyDescent="0.2">
      <c r="B2063" s="101" t="s">
        <v>64</v>
      </c>
      <c r="C2063" s="30">
        <v>20</v>
      </c>
      <c r="D2063" s="101" t="s">
        <v>2325</v>
      </c>
      <c r="E2063" s="183"/>
      <c r="F2063" s="99">
        <v>17.100000000000001</v>
      </c>
    </row>
    <row r="2064" spans="2:6" x14ac:dyDescent="0.2">
      <c r="B2064" s="101" t="s">
        <v>64</v>
      </c>
      <c r="C2064" s="30">
        <v>20</v>
      </c>
      <c r="D2064" s="101" t="s">
        <v>2334</v>
      </c>
      <c r="E2064" s="183"/>
      <c r="F2064" s="99">
        <v>1.4</v>
      </c>
    </row>
    <row r="2065" spans="2:6" x14ac:dyDescent="0.2">
      <c r="B2065" s="101" t="s">
        <v>64</v>
      </c>
      <c r="C2065" s="30">
        <v>20</v>
      </c>
      <c r="D2065" s="101" t="s">
        <v>2335</v>
      </c>
      <c r="E2065" s="183"/>
      <c r="F2065" s="99">
        <v>1.45</v>
      </c>
    </row>
    <row r="2066" spans="2:6" x14ac:dyDescent="0.2">
      <c r="B2066" s="101" t="s">
        <v>64</v>
      </c>
      <c r="C2066" s="30">
        <v>20</v>
      </c>
      <c r="D2066" s="101" t="s">
        <v>2338</v>
      </c>
      <c r="E2066" s="183"/>
      <c r="F2066" s="99">
        <v>1.53</v>
      </c>
    </row>
    <row r="2067" spans="2:6" x14ac:dyDescent="0.2">
      <c r="B2067" s="101" t="s">
        <v>64</v>
      </c>
      <c r="C2067" s="30">
        <v>20</v>
      </c>
      <c r="D2067" s="101" t="s">
        <v>2339</v>
      </c>
      <c r="E2067" s="183"/>
      <c r="F2067" s="99">
        <f>1.04+1.5</f>
        <v>2.54</v>
      </c>
    </row>
    <row r="2068" spans="2:6" x14ac:dyDescent="0.2">
      <c r="B2068" s="101" t="s">
        <v>64</v>
      </c>
      <c r="C2068" s="30">
        <v>20</v>
      </c>
      <c r="D2068" s="101" t="s">
        <v>2340</v>
      </c>
      <c r="E2068" s="183"/>
      <c r="F2068" s="99">
        <v>9.9499999999999993</v>
      </c>
    </row>
    <row r="2069" spans="2:6" x14ac:dyDescent="0.2">
      <c r="B2069" s="101" t="s">
        <v>64</v>
      </c>
      <c r="C2069" s="30">
        <v>20</v>
      </c>
      <c r="D2069" s="101">
        <v>1250</v>
      </c>
      <c r="E2069" s="183"/>
      <c r="F2069" s="99">
        <v>1.53</v>
      </c>
    </row>
    <row r="2070" spans="2:6" x14ac:dyDescent="0.2">
      <c r="B2070" s="101" t="s">
        <v>64</v>
      </c>
      <c r="C2070" s="30">
        <v>20</v>
      </c>
      <c r="D2070" s="101" t="s">
        <v>2356</v>
      </c>
      <c r="E2070" s="183"/>
      <c r="F2070" s="99">
        <v>1.86</v>
      </c>
    </row>
    <row r="2071" spans="2:6" x14ac:dyDescent="0.2">
      <c r="B2071" s="101" t="s">
        <v>64</v>
      </c>
      <c r="C2071" s="30">
        <v>20</v>
      </c>
      <c r="D2071" s="101">
        <v>1270</v>
      </c>
      <c r="E2071" s="183"/>
      <c r="F2071" s="99">
        <v>2.4</v>
      </c>
    </row>
    <row r="2072" spans="2:6" x14ac:dyDescent="0.2">
      <c r="B2072" s="101" t="s">
        <v>64</v>
      </c>
      <c r="C2072" s="30">
        <v>20</v>
      </c>
      <c r="D2072" s="101" t="s">
        <v>2363</v>
      </c>
      <c r="E2072" s="183"/>
      <c r="F2072" s="99">
        <v>7.81</v>
      </c>
    </row>
    <row r="2073" spans="2:6" x14ac:dyDescent="0.2">
      <c r="B2073" s="101" t="s">
        <v>64</v>
      </c>
      <c r="C2073" s="30">
        <v>20</v>
      </c>
      <c r="D2073" s="101" t="s">
        <v>2364</v>
      </c>
      <c r="E2073" s="183"/>
      <c r="F2073" s="99">
        <v>3.04</v>
      </c>
    </row>
    <row r="2074" spans="2:6" x14ac:dyDescent="0.2">
      <c r="B2074" s="101" t="s">
        <v>64</v>
      </c>
      <c r="C2074" s="30">
        <v>20</v>
      </c>
      <c r="D2074" s="101" t="s">
        <v>2372</v>
      </c>
      <c r="E2074" s="183"/>
      <c r="F2074" s="99">
        <v>1.85</v>
      </c>
    </row>
    <row r="2075" spans="2:6" x14ac:dyDescent="0.2">
      <c r="B2075" s="101" t="s">
        <v>64</v>
      </c>
      <c r="C2075" s="30">
        <v>20</v>
      </c>
      <c r="D2075" s="101" t="s">
        <v>2374</v>
      </c>
      <c r="E2075" s="183"/>
      <c r="F2075" s="99">
        <v>1.2</v>
      </c>
    </row>
    <row r="2076" spans="2:6" x14ac:dyDescent="0.2">
      <c r="B2076" s="101" t="s">
        <v>64</v>
      </c>
      <c r="C2076" s="30">
        <v>20</v>
      </c>
      <c r="D2076" s="101" t="s">
        <v>2377</v>
      </c>
      <c r="E2076" s="183"/>
      <c r="F2076" s="99">
        <v>3.5</v>
      </c>
    </row>
    <row r="2077" spans="2:6" x14ac:dyDescent="0.2">
      <c r="B2077" s="101" t="s">
        <v>64</v>
      </c>
      <c r="C2077" s="30">
        <v>20</v>
      </c>
      <c r="D2077" s="101">
        <v>1740</v>
      </c>
      <c r="E2077" s="183"/>
      <c r="F2077" s="99">
        <v>4.4800000000000004</v>
      </c>
    </row>
    <row r="2078" spans="2:6" x14ac:dyDescent="0.2">
      <c r="B2078" s="101" t="s">
        <v>64</v>
      </c>
      <c r="C2078" s="30">
        <v>20</v>
      </c>
      <c r="D2078" s="101">
        <v>1740</v>
      </c>
      <c r="E2078" s="183"/>
      <c r="F2078" s="99">
        <v>4.41</v>
      </c>
    </row>
    <row r="2079" spans="2:6" x14ac:dyDescent="0.2">
      <c r="B2079" s="101" t="s">
        <v>64</v>
      </c>
      <c r="C2079" s="30">
        <v>20</v>
      </c>
      <c r="D2079" s="101" t="s">
        <v>2384</v>
      </c>
      <c r="E2079" s="183"/>
      <c r="F2079" s="99">
        <v>8.2200000000000006</v>
      </c>
    </row>
    <row r="2080" spans="2:6" x14ac:dyDescent="0.2">
      <c r="B2080" s="101" t="s">
        <v>64</v>
      </c>
      <c r="C2080" s="30">
        <v>20</v>
      </c>
      <c r="D2080" s="101" t="s">
        <v>2385</v>
      </c>
      <c r="E2080" s="183"/>
      <c r="F2080" s="99">
        <v>6.79</v>
      </c>
    </row>
    <row r="2081" spans="2:6" x14ac:dyDescent="0.2">
      <c r="B2081" s="101" t="s">
        <v>64</v>
      </c>
      <c r="C2081" s="30">
        <v>20</v>
      </c>
      <c r="D2081" s="101" t="s">
        <v>2386</v>
      </c>
      <c r="E2081" s="183"/>
      <c r="F2081" s="99">
        <v>6.9</v>
      </c>
    </row>
    <row r="2082" spans="2:6" x14ac:dyDescent="0.2">
      <c r="B2082" s="101" t="s">
        <v>64</v>
      </c>
      <c r="C2082" s="30">
        <v>20</v>
      </c>
      <c r="D2082" s="101" t="s">
        <v>2387</v>
      </c>
      <c r="E2082" s="183"/>
      <c r="F2082" s="99">
        <v>9.36</v>
      </c>
    </row>
    <row r="2083" spans="2:6" x14ac:dyDescent="0.2">
      <c r="B2083" s="101" t="s">
        <v>64</v>
      </c>
      <c r="C2083" s="30">
        <v>25</v>
      </c>
      <c r="D2083" s="101" t="s">
        <v>1789</v>
      </c>
      <c r="E2083" s="183"/>
      <c r="F2083" s="99">
        <v>0.05</v>
      </c>
    </row>
    <row r="2084" spans="2:6" x14ac:dyDescent="0.2">
      <c r="B2084" s="101" t="s">
        <v>64</v>
      </c>
      <c r="C2084" s="30">
        <v>25</v>
      </c>
      <c r="D2084" s="101">
        <v>480</v>
      </c>
      <c r="E2084" s="183"/>
      <c r="F2084" s="99">
        <v>0.23</v>
      </c>
    </row>
    <row r="2085" spans="2:6" x14ac:dyDescent="0.2">
      <c r="B2085" s="101" t="s">
        <v>64</v>
      </c>
      <c r="C2085" s="30">
        <v>25</v>
      </c>
      <c r="D2085" s="101" t="s">
        <v>2047</v>
      </c>
      <c r="E2085" s="183"/>
      <c r="F2085" s="99">
        <v>0.5</v>
      </c>
    </row>
    <row r="2086" spans="2:6" x14ac:dyDescent="0.2">
      <c r="B2086" s="78" t="s">
        <v>64</v>
      </c>
      <c r="C2086" s="174">
        <v>30</v>
      </c>
      <c r="D2086" s="2" t="s">
        <v>78</v>
      </c>
      <c r="E2086" s="77"/>
      <c r="F2086" s="39">
        <v>1.07</v>
      </c>
    </row>
    <row r="2087" spans="2:6" x14ac:dyDescent="0.2">
      <c r="B2087" s="101" t="s">
        <v>64</v>
      </c>
      <c r="C2087" s="30">
        <v>30</v>
      </c>
      <c r="D2087" s="101" t="s">
        <v>2075</v>
      </c>
      <c r="E2087" s="183"/>
      <c r="F2087" s="99">
        <v>6.93</v>
      </c>
    </row>
    <row r="2088" spans="2:6" x14ac:dyDescent="0.2">
      <c r="B2088" s="101" t="s">
        <v>64</v>
      </c>
      <c r="C2088" s="30">
        <v>30</v>
      </c>
      <c r="D2088" s="101" t="s">
        <v>2122</v>
      </c>
      <c r="E2088" s="183"/>
      <c r="F2088" s="99">
        <v>0.95</v>
      </c>
    </row>
    <row r="2089" spans="2:6" x14ac:dyDescent="0.2">
      <c r="B2089" s="101" t="s">
        <v>64</v>
      </c>
      <c r="C2089" s="30">
        <v>30</v>
      </c>
      <c r="D2089" s="101" t="s">
        <v>2153</v>
      </c>
      <c r="E2089" s="183"/>
      <c r="F2089" s="99">
        <v>1.03</v>
      </c>
    </row>
    <row r="2090" spans="2:6" x14ac:dyDescent="0.2">
      <c r="B2090" s="101" t="s">
        <v>64</v>
      </c>
      <c r="C2090" s="30">
        <v>30</v>
      </c>
      <c r="D2090" s="101" t="s">
        <v>2177</v>
      </c>
      <c r="E2090" s="183"/>
      <c r="F2090" s="99">
        <v>0.72</v>
      </c>
    </row>
    <row r="2091" spans="2:6" x14ac:dyDescent="0.2">
      <c r="B2091" s="101" t="s">
        <v>64</v>
      </c>
      <c r="C2091" s="30">
        <v>30</v>
      </c>
      <c r="D2091" s="101" t="s">
        <v>2202</v>
      </c>
      <c r="E2091" s="183"/>
      <c r="F2091" s="99">
        <v>0.67</v>
      </c>
    </row>
    <row r="2092" spans="2:6" x14ac:dyDescent="0.2">
      <c r="B2092" s="101" t="s">
        <v>64</v>
      </c>
      <c r="C2092" s="30">
        <v>30</v>
      </c>
      <c r="D2092" s="101" t="s">
        <v>2289</v>
      </c>
      <c r="E2092" s="183"/>
      <c r="F2092" s="99">
        <v>2.54</v>
      </c>
    </row>
    <row r="2093" spans="2:6" x14ac:dyDescent="0.2">
      <c r="B2093" s="101" t="s">
        <v>64</v>
      </c>
      <c r="C2093" s="30">
        <v>30</v>
      </c>
      <c r="D2093" s="101" t="s">
        <v>2316</v>
      </c>
      <c r="E2093" s="183"/>
      <c r="F2093" s="99">
        <v>2.11</v>
      </c>
    </row>
    <row r="2094" spans="2:6" x14ac:dyDescent="0.2">
      <c r="B2094" s="30" t="s">
        <v>64</v>
      </c>
      <c r="C2094" s="30">
        <v>35</v>
      </c>
      <c r="D2094" s="30" t="s">
        <v>511</v>
      </c>
      <c r="E2094" s="101"/>
      <c r="F2094" s="99">
        <f>(0.156)</f>
        <v>0.156</v>
      </c>
    </row>
    <row r="2095" spans="2:6" x14ac:dyDescent="0.2">
      <c r="B2095" s="30" t="s">
        <v>64</v>
      </c>
      <c r="C2095" s="30">
        <v>35</v>
      </c>
      <c r="D2095" s="30" t="s">
        <v>512</v>
      </c>
      <c r="E2095" s="101"/>
      <c r="F2095" s="99">
        <f>(1.144)-0.474-0.176</f>
        <v>0.49399999999999994</v>
      </c>
    </row>
    <row r="2096" spans="2:6" x14ac:dyDescent="0.2">
      <c r="B2096" s="30" t="s">
        <v>64</v>
      </c>
      <c r="C2096" s="30">
        <v>35</v>
      </c>
      <c r="D2096" s="30" t="s">
        <v>510</v>
      </c>
      <c r="E2096" s="101"/>
      <c r="F2096" s="99">
        <v>6.3150000000000004</v>
      </c>
    </row>
    <row r="2097" spans="2:6" x14ac:dyDescent="0.2">
      <c r="B2097" s="101" t="s">
        <v>64</v>
      </c>
      <c r="C2097" s="30">
        <v>35</v>
      </c>
      <c r="D2097" s="101" t="s">
        <v>2503</v>
      </c>
      <c r="E2097" s="183"/>
      <c r="F2097" s="99"/>
    </row>
    <row r="2098" spans="2:6" x14ac:dyDescent="0.2">
      <c r="B2098" s="101" t="s">
        <v>64</v>
      </c>
      <c r="C2098" s="30">
        <v>35</v>
      </c>
      <c r="D2098" s="101">
        <v>370</v>
      </c>
      <c r="E2098" s="183"/>
      <c r="F2098" s="99">
        <v>2.68</v>
      </c>
    </row>
    <row r="2099" spans="2:6" x14ac:dyDescent="0.2">
      <c r="B2099" s="101" t="s">
        <v>64</v>
      </c>
      <c r="C2099" s="30">
        <v>35</v>
      </c>
      <c r="D2099" s="101">
        <v>370</v>
      </c>
      <c r="E2099" s="25"/>
      <c r="F2099" s="99">
        <v>7.0000000000000007E-2</v>
      </c>
    </row>
    <row r="2100" spans="2:6" x14ac:dyDescent="0.2">
      <c r="B2100" s="101" t="s">
        <v>64</v>
      </c>
      <c r="C2100" s="30">
        <v>35</v>
      </c>
      <c r="D2100" s="101">
        <v>380</v>
      </c>
      <c r="E2100" s="183"/>
      <c r="F2100" s="99">
        <v>4.5199999999999996</v>
      </c>
    </row>
    <row r="2101" spans="2:6" x14ac:dyDescent="0.2">
      <c r="B2101" s="101" t="s">
        <v>64</v>
      </c>
      <c r="C2101" s="30">
        <v>35</v>
      </c>
      <c r="D2101" s="101">
        <v>380</v>
      </c>
      <c r="E2101" s="183"/>
      <c r="F2101" s="99">
        <v>0.67</v>
      </c>
    </row>
    <row r="2102" spans="2:6" x14ac:dyDescent="0.2">
      <c r="B2102" s="101" t="s">
        <v>64</v>
      </c>
      <c r="C2102" s="30">
        <v>35</v>
      </c>
      <c r="D2102" s="101">
        <v>385</v>
      </c>
      <c r="E2102" s="183"/>
      <c r="F2102" s="99">
        <f>6.305+5.505</f>
        <v>11.809999999999999</v>
      </c>
    </row>
    <row r="2103" spans="2:6" x14ac:dyDescent="0.2">
      <c r="B2103" s="101" t="s">
        <v>64</v>
      </c>
      <c r="C2103" s="30">
        <v>35</v>
      </c>
      <c r="D2103" s="101">
        <v>385</v>
      </c>
      <c r="E2103" s="183"/>
      <c r="F2103" s="99">
        <v>4.6950000000000003</v>
      </c>
    </row>
    <row r="2104" spans="2:6" x14ac:dyDescent="0.2">
      <c r="B2104" s="101" t="s">
        <v>64</v>
      </c>
      <c r="C2104" s="30">
        <v>35</v>
      </c>
      <c r="D2104" s="101" t="s">
        <v>2512</v>
      </c>
      <c r="E2104" s="183"/>
      <c r="F2104" s="99">
        <v>0.4</v>
      </c>
    </row>
    <row r="2105" spans="2:6" x14ac:dyDescent="0.2">
      <c r="B2105" s="101" t="s">
        <v>64</v>
      </c>
      <c r="C2105" s="30">
        <v>35</v>
      </c>
      <c r="D2105" s="101" t="s">
        <v>1804</v>
      </c>
      <c r="E2105" s="183"/>
      <c r="F2105" s="99"/>
    </row>
    <row r="2106" spans="2:6" x14ac:dyDescent="0.2">
      <c r="B2106" s="101" t="s">
        <v>64</v>
      </c>
      <c r="C2106" s="30">
        <v>35</v>
      </c>
      <c r="D2106" s="101">
        <v>390</v>
      </c>
      <c r="E2106" s="183"/>
      <c r="F2106" s="99">
        <f>4.87+4.26+4.69</f>
        <v>13.82</v>
      </c>
    </row>
    <row r="2107" spans="2:6" x14ac:dyDescent="0.2">
      <c r="B2107" s="101" t="s">
        <v>64</v>
      </c>
      <c r="C2107" s="30">
        <v>35</v>
      </c>
      <c r="D2107" s="101">
        <v>400</v>
      </c>
      <c r="E2107" s="183"/>
      <c r="F2107" s="99">
        <v>8</v>
      </c>
    </row>
    <row r="2108" spans="2:6" x14ac:dyDescent="0.2">
      <c r="B2108" s="101" t="s">
        <v>64</v>
      </c>
      <c r="C2108" s="30">
        <v>35</v>
      </c>
      <c r="D2108" s="101">
        <v>400</v>
      </c>
      <c r="E2108" s="183"/>
      <c r="F2108" s="99">
        <v>0.37</v>
      </c>
    </row>
    <row r="2109" spans="2:6" x14ac:dyDescent="0.2">
      <c r="B2109" s="101" t="s">
        <v>64</v>
      </c>
      <c r="C2109" s="30">
        <v>35</v>
      </c>
      <c r="D2109" s="101" t="s">
        <v>1815</v>
      </c>
      <c r="E2109" s="183"/>
      <c r="F2109" s="99"/>
    </row>
    <row r="2110" spans="2:6" x14ac:dyDescent="0.2">
      <c r="B2110" s="101" t="s">
        <v>64</v>
      </c>
      <c r="C2110" s="30">
        <v>35</v>
      </c>
      <c r="D2110" s="101" t="s">
        <v>1820</v>
      </c>
      <c r="E2110" s="183"/>
      <c r="F2110" s="99">
        <v>0.17499999999999999</v>
      </c>
    </row>
    <row r="2111" spans="2:6" x14ac:dyDescent="0.2">
      <c r="B2111" s="101" t="s">
        <v>64</v>
      </c>
      <c r="C2111" s="30">
        <v>35</v>
      </c>
      <c r="D2111" s="101">
        <v>405</v>
      </c>
      <c r="E2111" s="183"/>
      <c r="F2111" s="99">
        <v>8</v>
      </c>
    </row>
    <row r="2112" spans="2:6" x14ac:dyDescent="0.2">
      <c r="B2112" s="101" t="s">
        <v>64</v>
      </c>
      <c r="C2112" s="30">
        <v>35</v>
      </c>
      <c r="D2112" s="101">
        <v>405</v>
      </c>
      <c r="E2112" s="183"/>
      <c r="F2112" s="99">
        <v>4.41</v>
      </c>
    </row>
    <row r="2113" spans="2:6" x14ac:dyDescent="0.2">
      <c r="B2113" s="101" t="s">
        <v>64</v>
      </c>
      <c r="C2113" s="30">
        <v>35</v>
      </c>
      <c r="D2113" s="101">
        <v>405</v>
      </c>
      <c r="E2113" s="183"/>
      <c r="F2113" s="99">
        <v>0.09</v>
      </c>
    </row>
    <row r="2114" spans="2:6" x14ac:dyDescent="0.2">
      <c r="B2114" s="101" t="s">
        <v>64</v>
      </c>
      <c r="C2114" s="30">
        <v>35</v>
      </c>
      <c r="D2114" s="101">
        <v>410</v>
      </c>
      <c r="E2114" s="183"/>
      <c r="F2114" s="99">
        <v>0.14000000000000001</v>
      </c>
    </row>
    <row r="2115" spans="2:6" x14ac:dyDescent="0.2">
      <c r="B2115" s="101" t="s">
        <v>64</v>
      </c>
      <c r="C2115" s="30">
        <v>35</v>
      </c>
      <c r="D2115" s="101" t="s">
        <v>1824</v>
      </c>
      <c r="E2115" s="183"/>
      <c r="F2115" s="99">
        <v>0.11</v>
      </c>
    </row>
    <row r="2116" spans="2:6" x14ac:dyDescent="0.2">
      <c r="B2116" s="101" t="s">
        <v>64</v>
      </c>
      <c r="C2116" s="30">
        <v>35</v>
      </c>
      <c r="D2116" s="101">
        <v>420</v>
      </c>
      <c r="E2116" s="183"/>
      <c r="F2116" s="99">
        <v>11.8</v>
      </c>
    </row>
    <row r="2117" spans="2:6" x14ac:dyDescent="0.2">
      <c r="B2117" s="101" t="s">
        <v>64</v>
      </c>
      <c r="C2117" s="30">
        <v>35</v>
      </c>
      <c r="D2117" s="101">
        <v>420</v>
      </c>
      <c r="E2117" s="183"/>
      <c r="F2117" s="99">
        <v>2.35</v>
      </c>
    </row>
    <row r="2118" spans="2:6" x14ac:dyDescent="0.2">
      <c r="B2118" s="101" t="s">
        <v>64</v>
      </c>
      <c r="C2118" s="30">
        <v>35</v>
      </c>
      <c r="D2118" s="101">
        <v>440</v>
      </c>
      <c r="E2118" s="183"/>
      <c r="F2118" s="99">
        <v>3.18</v>
      </c>
    </row>
    <row r="2119" spans="2:6" x14ac:dyDescent="0.2">
      <c r="B2119" s="101" t="s">
        <v>64</v>
      </c>
      <c r="C2119" s="30">
        <v>35</v>
      </c>
      <c r="D2119" s="101">
        <v>450</v>
      </c>
      <c r="E2119" s="183"/>
      <c r="F2119" s="99">
        <f>7.91</f>
        <v>7.91</v>
      </c>
    </row>
    <row r="2120" spans="2:6" x14ac:dyDescent="0.2">
      <c r="B2120" s="101" t="s">
        <v>64</v>
      </c>
      <c r="C2120" s="30">
        <v>35</v>
      </c>
      <c r="D2120" s="101">
        <v>460</v>
      </c>
      <c r="E2120" s="25"/>
      <c r="F2120" s="99">
        <v>6.77</v>
      </c>
    </row>
    <row r="2121" spans="2:6" x14ac:dyDescent="0.2">
      <c r="B2121" s="101" t="s">
        <v>64</v>
      </c>
      <c r="C2121" s="30">
        <v>35</v>
      </c>
      <c r="D2121" s="101" t="s">
        <v>2534</v>
      </c>
      <c r="E2121" s="183"/>
      <c r="F2121" s="99"/>
    </row>
    <row r="2122" spans="2:6" x14ac:dyDescent="0.2">
      <c r="B2122" s="101" t="s">
        <v>64</v>
      </c>
      <c r="C2122" s="30">
        <v>35</v>
      </c>
      <c r="D2122" s="101">
        <v>500</v>
      </c>
      <c r="E2122" s="183"/>
      <c r="F2122" s="99">
        <f>5.66+4.58</f>
        <v>10.24</v>
      </c>
    </row>
    <row r="2123" spans="2:6" x14ac:dyDescent="0.2">
      <c r="B2123" s="101" t="s">
        <v>64</v>
      </c>
      <c r="C2123" s="30">
        <v>35</v>
      </c>
      <c r="D2123" s="101" t="s">
        <v>1912</v>
      </c>
      <c r="E2123" s="183"/>
      <c r="F2123" s="99"/>
    </row>
    <row r="2124" spans="2:6" x14ac:dyDescent="0.2">
      <c r="B2124" s="101" t="s">
        <v>64</v>
      </c>
      <c r="C2124" s="30">
        <v>35</v>
      </c>
      <c r="D2124" s="101" t="s">
        <v>1926</v>
      </c>
      <c r="E2124" s="183"/>
      <c r="F2124" s="99">
        <v>0.41</v>
      </c>
    </row>
    <row r="2125" spans="2:6" x14ac:dyDescent="0.2">
      <c r="B2125" s="101" t="s">
        <v>64</v>
      </c>
      <c r="C2125" s="30">
        <v>35</v>
      </c>
      <c r="D2125" s="101" t="s">
        <v>2548</v>
      </c>
      <c r="E2125" s="183"/>
      <c r="F2125" s="99"/>
    </row>
    <row r="2126" spans="2:6" x14ac:dyDescent="0.2">
      <c r="B2126" s="101" t="s">
        <v>64</v>
      </c>
      <c r="C2126" s="30">
        <v>35</v>
      </c>
      <c r="D2126" s="101">
        <v>520</v>
      </c>
      <c r="E2126" s="183"/>
      <c r="F2126" s="99">
        <v>0.3</v>
      </c>
    </row>
    <row r="2127" spans="2:6" x14ac:dyDescent="0.2">
      <c r="B2127" s="101" t="s">
        <v>64</v>
      </c>
      <c r="C2127" s="30">
        <v>35</v>
      </c>
      <c r="D2127" s="101">
        <v>520</v>
      </c>
      <c r="E2127" s="183"/>
      <c r="F2127" s="99">
        <v>0.22</v>
      </c>
    </row>
    <row r="2128" spans="2:6" x14ac:dyDescent="0.2">
      <c r="B2128" s="101" t="s">
        <v>64</v>
      </c>
      <c r="C2128" s="30">
        <v>35</v>
      </c>
      <c r="D2128" s="101">
        <v>520</v>
      </c>
      <c r="E2128" s="183"/>
      <c r="F2128" s="99">
        <v>0.105</v>
      </c>
    </row>
    <row r="2129" spans="2:6" x14ac:dyDescent="0.2">
      <c r="B2129" s="101" t="s">
        <v>64</v>
      </c>
      <c r="C2129" s="30">
        <v>35</v>
      </c>
      <c r="D2129" s="101" t="s">
        <v>1931</v>
      </c>
      <c r="E2129" s="183"/>
      <c r="F2129" s="99">
        <v>0.28999999999999998</v>
      </c>
    </row>
    <row r="2130" spans="2:6" x14ac:dyDescent="0.2">
      <c r="B2130" s="101" t="s">
        <v>64</v>
      </c>
      <c r="C2130" s="30">
        <v>35</v>
      </c>
      <c r="D2130" s="101">
        <v>540</v>
      </c>
      <c r="E2130" s="183"/>
      <c r="F2130" s="99">
        <v>8.9</v>
      </c>
    </row>
    <row r="2131" spans="2:6" x14ac:dyDescent="0.2">
      <c r="B2131" s="101" t="s">
        <v>64</v>
      </c>
      <c r="C2131" s="30">
        <v>35</v>
      </c>
      <c r="D2131" s="101">
        <v>550</v>
      </c>
      <c r="E2131" s="183"/>
      <c r="F2131" s="99">
        <v>0.32</v>
      </c>
    </row>
    <row r="2132" spans="2:6" x14ac:dyDescent="0.2">
      <c r="B2132" s="101" t="s">
        <v>64</v>
      </c>
      <c r="C2132" s="30">
        <v>35</v>
      </c>
      <c r="D2132" s="101">
        <v>550</v>
      </c>
      <c r="E2132" s="183"/>
      <c r="F2132" s="99">
        <v>0.24</v>
      </c>
    </row>
    <row r="2133" spans="2:6" x14ac:dyDescent="0.2">
      <c r="B2133" s="101" t="s">
        <v>64</v>
      </c>
      <c r="C2133" s="30">
        <v>35</v>
      </c>
      <c r="D2133" s="101">
        <v>580</v>
      </c>
      <c r="E2133" s="25"/>
      <c r="F2133" s="99">
        <v>8.9</v>
      </c>
    </row>
    <row r="2134" spans="2:6" x14ac:dyDescent="0.2">
      <c r="B2134" s="101" t="s">
        <v>64</v>
      </c>
      <c r="C2134" s="30">
        <v>35</v>
      </c>
      <c r="D2134" s="101">
        <v>580</v>
      </c>
      <c r="E2134" s="25"/>
      <c r="F2134" s="99">
        <f>3.8+0.29</f>
        <v>4.09</v>
      </c>
    </row>
    <row r="2135" spans="2:6" x14ac:dyDescent="0.2">
      <c r="B2135" s="101" t="s">
        <v>64</v>
      </c>
      <c r="C2135" s="30">
        <v>35</v>
      </c>
      <c r="D2135" s="101" t="s">
        <v>1970</v>
      </c>
      <c r="E2135" s="25"/>
      <c r="F2135" s="99">
        <v>0.53</v>
      </c>
    </row>
    <row r="2136" spans="2:6" x14ac:dyDescent="0.2">
      <c r="B2136" s="101" t="s">
        <v>64</v>
      </c>
      <c r="C2136" s="30">
        <v>35</v>
      </c>
      <c r="D2136" s="101">
        <v>620</v>
      </c>
      <c r="E2136" s="183"/>
      <c r="F2136" s="99">
        <v>4.3</v>
      </c>
    </row>
    <row r="2137" spans="2:6" x14ac:dyDescent="0.2">
      <c r="B2137" s="101" t="s">
        <v>64</v>
      </c>
      <c r="C2137" s="30">
        <v>35</v>
      </c>
      <c r="D2137" s="101">
        <v>630</v>
      </c>
      <c r="E2137" s="183"/>
      <c r="F2137" s="99">
        <v>0.28999999999999998</v>
      </c>
    </row>
    <row r="2138" spans="2:6" x14ac:dyDescent="0.2">
      <c r="B2138" s="101" t="s">
        <v>64</v>
      </c>
      <c r="C2138" s="30">
        <v>35</v>
      </c>
      <c r="D2138" s="101">
        <v>650</v>
      </c>
      <c r="E2138" s="25"/>
      <c r="F2138" s="99">
        <v>6.5</v>
      </c>
    </row>
    <row r="2139" spans="2:6" x14ac:dyDescent="0.2">
      <c r="B2139" s="101" t="s">
        <v>64</v>
      </c>
      <c r="C2139" s="30">
        <v>35</v>
      </c>
      <c r="D2139" s="101">
        <v>660</v>
      </c>
      <c r="E2139" s="183"/>
      <c r="F2139" s="99">
        <v>0.11</v>
      </c>
    </row>
    <row r="2140" spans="2:6" x14ac:dyDescent="0.2">
      <c r="B2140" s="101" t="s">
        <v>64</v>
      </c>
      <c r="C2140" s="30">
        <v>35</v>
      </c>
      <c r="D2140" s="101" t="s">
        <v>2050</v>
      </c>
      <c r="E2140" s="183"/>
      <c r="F2140" s="99">
        <v>0.54</v>
      </c>
    </row>
    <row r="2141" spans="2:6" x14ac:dyDescent="0.2">
      <c r="B2141" s="101" t="s">
        <v>64</v>
      </c>
      <c r="C2141" s="30">
        <v>35</v>
      </c>
      <c r="D2141" s="101" t="s">
        <v>2051</v>
      </c>
      <c r="E2141" s="183"/>
      <c r="F2141" s="99">
        <f>0.52</f>
        <v>0.52</v>
      </c>
    </row>
    <row r="2142" spans="2:6" x14ac:dyDescent="0.2">
      <c r="B2142" s="101" t="s">
        <v>64</v>
      </c>
      <c r="C2142" s="30">
        <v>35</v>
      </c>
      <c r="D2142" s="101">
        <v>690</v>
      </c>
      <c r="E2142" s="183"/>
      <c r="F2142" s="99">
        <v>3.14</v>
      </c>
    </row>
    <row r="2143" spans="2:6" x14ac:dyDescent="0.2">
      <c r="B2143" s="101" t="s">
        <v>64</v>
      </c>
      <c r="C2143" s="30">
        <v>35</v>
      </c>
      <c r="D2143" s="101">
        <v>690</v>
      </c>
      <c r="E2143" s="183"/>
      <c r="F2143" s="99">
        <f>0.64+0.49</f>
        <v>1.1299999999999999</v>
      </c>
    </row>
    <row r="2144" spans="2:6" x14ac:dyDescent="0.2">
      <c r="B2144" s="101" t="s">
        <v>64</v>
      </c>
      <c r="C2144" s="30">
        <v>35</v>
      </c>
      <c r="D2144" s="101" t="s">
        <v>2583</v>
      </c>
      <c r="E2144" s="183"/>
      <c r="F2144" s="99">
        <v>1.32</v>
      </c>
    </row>
    <row r="2145" spans="2:6" x14ac:dyDescent="0.2">
      <c r="B2145" s="101" t="s">
        <v>64</v>
      </c>
      <c r="C2145" s="30">
        <v>35</v>
      </c>
      <c r="D2145" s="101" t="s">
        <v>2057</v>
      </c>
      <c r="E2145" s="183"/>
      <c r="F2145" s="99">
        <v>0.17</v>
      </c>
    </row>
    <row r="2146" spans="2:6" x14ac:dyDescent="0.2">
      <c r="B2146" s="101" t="s">
        <v>64</v>
      </c>
      <c r="C2146" s="30">
        <v>35</v>
      </c>
      <c r="D2146" s="101" t="s">
        <v>2058</v>
      </c>
      <c r="E2146" s="183"/>
      <c r="F2146" s="99"/>
    </row>
    <row r="2147" spans="2:6" x14ac:dyDescent="0.2">
      <c r="B2147" s="101" t="s">
        <v>64</v>
      </c>
      <c r="C2147" s="30">
        <v>35</v>
      </c>
      <c r="D2147" s="101" t="s">
        <v>2063</v>
      </c>
      <c r="E2147" s="183"/>
      <c r="F2147" s="99">
        <v>0.56000000000000005</v>
      </c>
    </row>
    <row r="2148" spans="2:6" x14ac:dyDescent="0.2">
      <c r="B2148" s="101" t="s">
        <v>64</v>
      </c>
      <c r="C2148" s="30">
        <v>35</v>
      </c>
      <c r="D2148" s="101" t="s">
        <v>2076</v>
      </c>
      <c r="E2148" s="183"/>
      <c r="F2148" s="99">
        <v>0.62</v>
      </c>
    </row>
    <row r="2149" spans="2:6" x14ac:dyDescent="0.2">
      <c r="B2149" s="101" t="s">
        <v>64</v>
      </c>
      <c r="C2149" s="30">
        <v>35</v>
      </c>
      <c r="D2149" s="101" t="s">
        <v>2080</v>
      </c>
      <c r="E2149" s="183"/>
      <c r="F2149" s="99">
        <v>0.6</v>
      </c>
    </row>
    <row r="2150" spans="2:6" x14ac:dyDescent="0.2">
      <c r="B2150" s="101" t="s">
        <v>64</v>
      </c>
      <c r="C2150" s="30">
        <v>35</v>
      </c>
      <c r="D2150" s="101" t="s">
        <v>2096</v>
      </c>
      <c r="E2150" s="25"/>
      <c r="F2150" s="99"/>
    </row>
    <row r="2151" spans="2:6" x14ac:dyDescent="0.2">
      <c r="B2151" s="101" t="s">
        <v>64</v>
      </c>
      <c r="C2151" s="30">
        <v>35</v>
      </c>
      <c r="D2151" s="101">
        <v>800</v>
      </c>
      <c r="E2151" s="183"/>
      <c r="F2151" s="99">
        <v>8.3699999999999992</v>
      </c>
    </row>
    <row r="2152" spans="2:6" x14ac:dyDescent="0.2">
      <c r="B2152" s="101" t="s">
        <v>64</v>
      </c>
      <c r="C2152" s="30">
        <v>35</v>
      </c>
      <c r="D2152" s="101">
        <v>810</v>
      </c>
      <c r="E2152" s="183"/>
      <c r="F2152" s="99">
        <v>1.65</v>
      </c>
    </row>
    <row r="2153" spans="2:6" x14ac:dyDescent="0.2">
      <c r="B2153" s="101" t="s">
        <v>64</v>
      </c>
      <c r="C2153" s="30">
        <v>35</v>
      </c>
      <c r="D2153" s="101" t="s">
        <v>2588</v>
      </c>
      <c r="E2153" s="183"/>
      <c r="F2153" s="99">
        <v>7.84</v>
      </c>
    </row>
    <row r="2154" spans="2:6" x14ac:dyDescent="0.2">
      <c r="B2154" s="101" t="s">
        <v>64</v>
      </c>
      <c r="C2154" s="30">
        <v>35</v>
      </c>
      <c r="D2154" s="101">
        <v>840</v>
      </c>
      <c r="E2154" s="183"/>
      <c r="F2154" s="99">
        <v>0.68</v>
      </c>
    </row>
    <row r="2155" spans="2:6" x14ac:dyDescent="0.2">
      <c r="B2155" s="101" t="s">
        <v>64</v>
      </c>
      <c r="C2155" s="30">
        <v>35</v>
      </c>
      <c r="D2155" s="101" t="s">
        <v>2144</v>
      </c>
      <c r="E2155" s="183"/>
      <c r="F2155" s="99">
        <v>1.19</v>
      </c>
    </row>
    <row r="2156" spans="2:6" x14ac:dyDescent="0.2">
      <c r="B2156" s="101" t="s">
        <v>64</v>
      </c>
      <c r="C2156" s="30">
        <v>35</v>
      </c>
      <c r="D2156" s="101" t="s">
        <v>2147</v>
      </c>
      <c r="E2156" s="183"/>
      <c r="F2156" s="99">
        <v>1.2749999999999999</v>
      </c>
    </row>
    <row r="2157" spans="2:6" x14ac:dyDescent="0.2">
      <c r="B2157" s="101" t="s">
        <v>64</v>
      </c>
      <c r="C2157" s="30">
        <v>35</v>
      </c>
      <c r="D2157" s="101" t="s">
        <v>2148</v>
      </c>
      <c r="E2157" s="183"/>
      <c r="F2157" s="99"/>
    </row>
    <row r="2158" spans="2:6" x14ac:dyDescent="0.2">
      <c r="B2158" s="101" t="s">
        <v>64</v>
      </c>
      <c r="C2158" s="30">
        <v>35</v>
      </c>
      <c r="D2158" s="101">
        <v>860</v>
      </c>
      <c r="E2158" s="183"/>
      <c r="F2158" s="99">
        <f>0.7</f>
        <v>0.7</v>
      </c>
    </row>
    <row r="2159" spans="2:6" x14ac:dyDescent="0.2">
      <c r="B2159" s="101" t="s">
        <v>64</v>
      </c>
      <c r="C2159" s="30">
        <v>35</v>
      </c>
      <c r="D2159" s="101" t="s">
        <v>2154</v>
      </c>
      <c r="E2159" s="183"/>
      <c r="F2159" s="99">
        <f>1</f>
        <v>1</v>
      </c>
    </row>
    <row r="2160" spans="2:6" x14ac:dyDescent="0.2">
      <c r="B2160" s="101" t="s">
        <v>64</v>
      </c>
      <c r="C2160" s="30">
        <v>35</v>
      </c>
      <c r="D2160" s="101">
        <v>870</v>
      </c>
      <c r="E2160" s="183"/>
      <c r="F2160" s="99">
        <v>8.17</v>
      </c>
    </row>
    <row r="2161" spans="2:6" x14ac:dyDescent="0.2">
      <c r="B2161" s="101" t="s">
        <v>64</v>
      </c>
      <c r="C2161" s="30">
        <v>35</v>
      </c>
      <c r="D2161" s="101" t="s">
        <v>2159</v>
      </c>
      <c r="E2161" s="183"/>
      <c r="F2161" s="99">
        <f>0.96+0.97</f>
        <v>1.93</v>
      </c>
    </row>
    <row r="2162" spans="2:6" x14ac:dyDescent="0.2">
      <c r="B2162" s="101" t="s">
        <v>64</v>
      </c>
      <c r="C2162" s="30">
        <v>35</v>
      </c>
      <c r="D2162" s="101" t="s">
        <v>2160</v>
      </c>
      <c r="E2162" s="183"/>
      <c r="F2162" s="99">
        <v>1.06</v>
      </c>
    </row>
    <row r="2163" spans="2:6" x14ac:dyDescent="0.2">
      <c r="B2163" s="101" t="s">
        <v>64</v>
      </c>
      <c r="C2163" s="30">
        <v>35</v>
      </c>
      <c r="D2163" s="101">
        <v>880</v>
      </c>
      <c r="E2163" s="183"/>
      <c r="F2163" s="99">
        <v>0.94</v>
      </c>
    </row>
    <row r="2164" spans="2:6" x14ac:dyDescent="0.2">
      <c r="B2164" s="101" t="s">
        <v>64</v>
      </c>
      <c r="C2164" s="30">
        <v>35</v>
      </c>
      <c r="D2164" s="101">
        <v>880</v>
      </c>
      <c r="E2164" s="183"/>
      <c r="F2164" s="99">
        <v>3.45</v>
      </c>
    </row>
    <row r="2165" spans="2:6" x14ac:dyDescent="0.2">
      <c r="B2165" s="101" t="s">
        <v>64</v>
      </c>
      <c r="C2165" s="30">
        <v>35</v>
      </c>
      <c r="D2165" s="101" t="s">
        <v>2162</v>
      </c>
      <c r="E2165" s="183"/>
      <c r="F2165" s="99">
        <v>1.05</v>
      </c>
    </row>
    <row r="2166" spans="2:6" x14ac:dyDescent="0.2">
      <c r="B2166" s="101" t="s">
        <v>64</v>
      </c>
      <c r="C2166" s="30">
        <v>35</v>
      </c>
      <c r="D2166" s="101" t="s">
        <v>2592</v>
      </c>
      <c r="E2166" s="183"/>
      <c r="F2166" s="99">
        <v>7.84</v>
      </c>
    </row>
    <row r="2167" spans="2:6" x14ac:dyDescent="0.2">
      <c r="B2167" s="101" t="s">
        <v>64</v>
      </c>
      <c r="C2167" s="30">
        <v>35</v>
      </c>
      <c r="D2167" s="101">
        <v>900</v>
      </c>
      <c r="E2167" s="183"/>
      <c r="F2167" s="99">
        <v>0.62</v>
      </c>
    </row>
    <row r="2168" spans="2:6" x14ac:dyDescent="0.2">
      <c r="B2168" s="101" t="s">
        <v>64</v>
      </c>
      <c r="C2168" s="30">
        <v>35</v>
      </c>
      <c r="D2168" s="101" t="s">
        <v>2290</v>
      </c>
      <c r="E2168" s="183"/>
      <c r="F2168" s="99">
        <v>1.1599999999999999</v>
      </c>
    </row>
    <row r="2169" spans="2:6" x14ac:dyDescent="0.2">
      <c r="B2169" s="101" t="s">
        <v>64</v>
      </c>
      <c r="C2169" s="30">
        <v>35</v>
      </c>
      <c r="D2169" s="101">
        <v>1030</v>
      </c>
      <c r="E2169" s="183"/>
      <c r="F2169" s="99">
        <v>1.07</v>
      </c>
    </row>
    <row r="2170" spans="2:6" x14ac:dyDescent="0.2">
      <c r="B2170" s="101" t="s">
        <v>64</v>
      </c>
      <c r="C2170" s="30">
        <v>35</v>
      </c>
      <c r="D2170" s="101" t="s">
        <v>2293</v>
      </c>
      <c r="E2170" s="183"/>
      <c r="F2170" s="99">
        <v>1.1499999999999999</v>
      </c>
    </row>
    <row r="2171" spans="2:6" x14ac:dyDescent="0.2">
      <c r="B2171" s="101" t="s">
        <v>64</v>
      </c>
      <c r="C2171" s="30">
        <v>35</v>
      </c>
      <c r="D2171" s="101" t="s">
        <v>2297</v>
      </c>
      <c r="E2171" s="183"/>
      <c r="F2171" s="99">
        <v>1.26</v>
      </c>
    </row>
    <row r="2172" spans="2:6" x14ac:dyDescent="0.2">
      <c r="B2172" s="101" t="s">
        <v>64</v>
      </c>
      <c r="C2172" s="30">
        <v>35</v>
      </c>
      <c r="D2172" s="101">
        <v>1090</v>
      </c>
      <c r="E2172" s="183"/>
      <c r="F2172" s="99">
        <v>2.36</v>
      </c>
    </row>
    <row r="2173" spans="2:6" x14ac:dyDescent="0.2">
      <c r="B2173" s="101" t="s">
        <v>64</v>
      </c>
      <c r="C2173" s="30">
        <v>35</v>
      </c>
      <c r="D2173" s="101" t="s">
        <v>2312</v>
      </c>
      <c r="E2173" s="183"/>
      <c r="F2173" s="99">
        <v>1.98</v>
      </c>
    </row>
    <row r="2174" spans="2:6" x14ac:dyDescent="0.2">
      <c r="B2174" s="101" t="s">
        <v>64</v>
      </c>
      <c r="C2174" s="30">
        <v>35</v>
      </c>
      <c r="D2174" s="101" t="s">
        <v>2313</v>
      </c>
      <c r="E2174" s="183"/>
      <c r="F2174" s="99">
        <v>1.1000000000000001</v>
      </c>
    </row>
    <row r="2175" spans="2:6" x14ac:dyDescent="0.2">
      <c r="B2175" s="101" t="s">
        <v>64</v>
      </c>
      <c r="C2175" s="30">
        <v>35</v>
      </c>
      <c r="D2175" s="101" t="s">
        <v>2314</v>
      </c>
      <c r="E2175" s="183"/>
      <c r="F2175" s="99">
        <v>0.72</v>
      </c>
    </row>
    <row r="2176" spans="2:6" x14ac:dyDescent="0.2">
      <c r="B2176" s="101" t="s">
        <v>64</v>
      </c>
      <c r="C2176" s="30">
        <v>35</v>
      </c>
      <c r="D2176" s="101">
        <v>1100</v>
      </c>
      <c r="E2176" s="183"/>
      <c r="F2176" s="99">
        <v>2.56</v>
      </c>
    </row>
    <row r="2177" spans="2:6" x14ac:dyDescent="0.2">
      <c r="B2177" s="101" t="s">
        <v>64</v>
      </c>
      <c r="C2177" s="30">
        <v>35</v>
      </c>
      <c r="D2177" s="101">
        <v>1200</v>
      </c>
      <c r="E2177" s="183"/>
      <c r="F2177" s="99">
        <f>2.29+2.33</f>
        <v>4.62</v>
      </c>
    </row>
    <row r="2178" spans="2:6" x14ac:dyDescent="0.2">
      <c r="B2178" s="101" t="s">
        <v>64</v>
      </c>
      <c r="C2178" s="30">
        <v>35</v>
      </c>
      <c r="D2178" s="101">
        <v>1200</v>
      </c>
      <c r="E2178" s="183"/>
      <c r="F2178" s="99">
        <f>1.91+2.17</f>
        <v>4.08</v>
      </c>
    </row>
    <row r="2179" spans="2:6" x14ac:dyDescent="0.2">
      <c r="B2179" s="101" t="s">
        <v>64</v>
      </c>
      <c r="C2179" s="30">
        <v>35</v>
      </c>
      <c r="D2179" s="101">
        <v>1200</v>
      </c>
      <c r="E2179" s="183"/>
      <c r="F2179" s="99">
        <v>2.09</v>
      </c>
    </row>
    <row r="2180" spans="2:6" x14ac:dyDescent="0.2">
      <c r="B2180" s="101" t="s">
        <v>64</v>
      </c>
      <c r="C2180" s="30">
        <v>35</v>
      </c>
      <c r="D2180" s="101">
        <v>1200</v>
      </c>
      <c r="E2180" s="183"/>
      <c r="F2180" s="99">
        <v>2.23</v>
      </c>
    </row>
    <row r="2181" spans="2:6" x14ac:dyDescent="0.2">
      <c r="B2181" s="101" t="s">
        <v>64</v>
      </c>
      <c r="C2181" s="30">
        <v>35</v>
      </c>
      <c r="D2181" s="101" t="s">
        <v>2341</v>
      </c>
      <c r="E2181" s="183"/>
      <c r="F2181" s="99">
        <v>1.25</v>
      </c>
    </row>
    <row r="2182" spans="2:6" x14ac:dyDescent="0.2">
      <c r="B2182" s="101" t="s">
        <v>64</v>
      </c>
      <c r="C2182" s="30">
        <v>35</v>
      </c>
      <c r="D2182" s="101">
        <v>1210</v>
      </c>
      <c r="E2182" s="183"/>
      <c r="F2182" s="99">
        <v>2.0099999999999998</v>
      </c>
    </row>
    <row r="2183" spans="2:6" x14ac:dyDescent="0.2">
      <c r="B2183" s="101" t="s">
        <v>64</v>
      </c>
      <c r="C2183" s="30">
        <v>35</v>
      </c>
      <c r="D2183" s="101">
        <v>1220</v>
      </c>
      <c r="E2183" s="183"/>
      <c r="F2183" s="99">
        <v>2.0699999999999998</v>
      </c>
    </row>
    <row r="2184" spans="2:6" x14ac:dyDescent="0.2">
      <c r="B2184" s="101" t="s">
        <v>64</v>
      </c>
      <c r="C2184" s="30">
        <v>35</v>
      </c>
      <c r="D2184" s="101">
        <v>1220</v>
      </c>
      <c r="E2184" s="183"/>
      <c r="F2184" s="99">
        <f>2.4+2.47+3.88</f>
        <v>8.75</v>
      </c>
    </row>
    <row r="2185" spans="2:6" x14ac:dyDescent="0.2">
      <c r="B2185" s="101" t="s">
        <v>64</v>
      </c>
      <c r="C2185" s="30">
        <v>35</v>
      </c>
      <c r="D2185" s="101">
        <v>1220</v>
      </c>
      <c r="E2185" s="183"/>
      <c r="F2185" s="99">
        <f>2.32+2.31+2.28+2.27+2.31+2.12+2.18+2.13+2.12</f>
        <v>20.04</v>
      </c>
    </row>
    <row r="2186" spans="2:6" x14ac:dyDescent="0.2">
      <c r="B2186" s="101" t="s">
        <v>64</v>
      </c>
      <c r="C2186" s="30">
        <v>35</v>
      </c>
      <c r="D2186" s="101" t="s">
        <v>2346</v>
      </c>
      <c r="E2186" s="183"/>
      <c r="F2186" s="99">
        <v>4.4000000000000004</v>
      </c>
    </row>
    <row r="2187" spans="2:6" x14ac:dyDescent="0.2">
      <c r="B2187" s="101" t="s">
        <v>64</v>
      </c>
      <c r="C2187" s="30">
        <v>35</v>
      </c>
      <c r="D2187" s="101" t="s">
        <v>2347</v>
      </c>
      <c r="E2187" s="183"/>
      <c r="F2187" s="99">
        <v>3.57</v>
      </c>
    </row>
    <row r="2188" spans="2:6" x14ac:dyDescent="0.2">
      <c r="B2188" s="101" t="s">
        <v>64</v>
      </c>
      <c r="C2188" s="30">
        <v>35</v>
      </c>
      <c r="D2188" s="101" t="s">
        <v>2352</v>
      </c>
      <c r="E2188" s="183"/>
      <c r="F2188" s="99">
        <v>2.5</v>
      </c>
    </row>
    <row r="2189" spans="2:6" x14ac:dyDescent="0.2">
      <c r="B2189" s="101" t="s">
        <v>64</v>
      </c>
      <c r="C2189" s="30">
        <v>35</v>
      </c>
      <c r="D2189" s="101" t="s">
        <v>2357</v>
      </c>
      <c r="E2189" s="183"/>
      <c r="F2189" s="99">
        <v>2.44</v>
      </c>
    </row>
    <row r="2190" spans="2:6" x14ac:dyDescent="0.2">
      <c r="B2190" s="101" t="s">
        <v>64</v>
      </c>
      <c r="C2190" s="30">
        <v>35</v>
      </c>
      <c r="D2190" s="101" t="s">
        <v>2361</v>
      </c>
      <c r="E2190" s="183"/>
      <c r="F2190" s="99">
        <v>2.7</v>
      </c>
    </row>
    <row r="2191" spans="2:6" x14ac:dyDescent="0.2">
      <c r="B2191" s="101" t="s">
        <v>64</v>
      </c>
      <c r="C2191" s="30">
        <v>35</v>
      </c>
      <c r="D2191" s="101" t="s">
        <v>2365</v>
      </c>
      <c r="E2191" s="183"/>
      <c r="F2191" s="99">
        <v>2.44</v>
      </c>
    </row>
    <row r="2192" spans="2:6" x14ac:dyDescent="0.2">
      <c r="B2192" s="101" t="s">
        <v>64</v>
      </c>
      <c r="C2192" s="30">
        <v>35</v>
      </c>
      <c r="D2192" s="101" t="s">
        <v>2366</v>
      </c>
      <c r="E2192" s="183"/>
      <c r="F2192" s="99">
        <v>2.66</v>
      </c>
    </row>
    <row r="2193" spans="2:6" x14ac:dyDescent="0.2">
      <c r="B2193" s="101" t="s">
        <v>64</v>
      </c>
      <c r="C2193" s="30">
        <v>35</v>
      </c>
      <c r="D2193" s="101">
        <v>1880</v>
      </c>
      <c r="E2193" s="183"/>
      <c r="F2193" s="99">
        <v>9.36</v>
      </c>
    </row>
    <row r="2194" spans="2:6" x14ac:dyDescent="0.2">
      <c r="B2194" s="78" t="s">
        <v>64</v>
      </c>
      <c r="C2194" s="174">
        <v>40</v>
      </c>
      <c r="D2194" s="2" t="s">
        <v>68</v>
      </c>
      <c r="E2194" s="77"/>
      <c r="F2194" s="39">
        <v>0.48499999999999999</v>
      </c>
    </row>
    <row r="2195" spans="2:6" x14ac:dyDescent="0.2">
      <c r="B2195" s="78" t="s">
        <v>64</v>
      </c>
      <c r="C2195" s="174">
        <v>40</v>
      </c>
      <c r="D2195" s="2" t="s">
        <v>72</v>
      </c>
      <c r="E2195" s="77"/>
      <c r="F2195" s="39">
        <v>0.05</v>
      </c>
    </row>
    <row r="2196" spans="2:6" x14ac:dyDescent="0.2">
      <c r="B2196" s="30" t="s">
        <v>64</v>
      </c>
      <c r="C2196" s="30">
        <v>40</v>
      </c>
      <c r="D2196" s="30" t="s">
        <v>550</v>
      </c>
      <c r="E2196" s="101"/>
      <c r="F2196" s="99">
        <f>1.424-1.014</f>
        <v>0.40999999999999992</v>
      </c>
    </row>
    <row r="2197" spans="2:6" x14ac:dyDescent="0.2">
      <c r="B2197" s="101" t="s">
        <v>64</v>
      </c>
      <c r="C2197" s="30">
        <v>40</v>
      </c>
      <c r="D2197" s="101">
        <v>700</v>
      </c>
      <c r="E2197" s="183"/>
      <c r="F2197" s="99">
        <v>0.64</v>
      </c>
    </row>
    <row r="2198" spans="2:6" x14ac:dyDescent="0.2">
      <c r="B2198" s="101" t="s">
        <v>64</v>
      </c>
      <c r="C2198" s="30">
        <v>40</v>
      </c>
      <c r="D2198" s="101" t="s">
        <v>2104</v>
      </c>
      <c r="E2198" s="183"/>
      <c r="F2198" s="99">
        <v>0.56000000000000005</v>
      </c>
    </row>
    <row r="2199" spans="2:6" x14ac:dyDescent="0.2">
      <c r="B2199" s="101" t="s">
        <v>64</v>
      </c>
      <c r="C2199" s="30">
        <v>40</v>
      </c>
      <c r="D2199" s="101" t="s">
        <v>2114</v>
      </c>
      <c r="E2199" s="183"/>
      <c r="F2199" s="99">
        <v>1.07</v>
      </c>
    </row>
    <row r="2200" spans="2:6" x14ac:dyDescent="0.2">
      <c r="B2200" s="101" t="s">
        <v>64</v>
      </c>
      <c r="C2200" s="30">
        <v>40</v>
      </c>
      <c r="D2200" s="101">
        <v>850</v>
      </c>
      <c r="E2200" s="183"/>
      <c r="F2200" s="99">
        <v>0.64</v>
      </c>
    </row>
    <row r="2201" spans="2:6" x14ac:dyDescent="0.2">
      <c r="B2201" s="101" t="s">
        <v>64</v>
      </c>
      <c r="C2201" s="30">
        <v>40</v>
      </c>
      <c r="D2201" s="101" t="s">
        <v>2203</v>
      </c>
      <c r="E2201" s="183"/>
      <c r="F2201" s="99">
        <v>0.78</v>
      </c>
    </row>
    <row r="2202" spans="2:6" x14ac:dyDescent="0.2">
      <c r="B2202" s="101" t="s">
        <v>64</v>
      </c>
      <c r="C2202" s="30">
        <v>40</v>
      </c>
      <c r="D2202" s="101" t="s">
        <v>2243</v>
      </c>
      <c r="E2202" s="183"/>
      <c r="F2202" s="99">
        <v>1.38</v>
      </c>
    </row>
    <row r="2203" spans="2:6" x14ac:dyDescent="0.2">
      <c r="B2203" s="101" t="s">
        <v>64</v>
      </c>
      <c r="C2203" s="30">
        <v>40</v>
      </c>
      <c r="D2203" s="101">
        <v>1200</v>
      </c>
      <c r="E2203" s="183"/>
      <c r="F2203" s="99">
        <v>2.1800000000000002</v>
      </c>
    </row>
    <row r="2204" spans="2:6" x14ac:dyDescent="0.2">
      <c r="B2204" s="101" t="s">
        <v>64</v>
      </c>
      <c r="C2204" s="30">
        <v>40</v>
      </c>
      <c r="D2204" s="101" t="s">
        <v>2341</v>
      </c>
      <c r="E2204" s="183"/>
      <c r="F2204" s="99">
        <v>4.05</v>
      </c>
    </row>
    <row r="2205" spans="2:6" x14ac:dyDescent="0.2">
      <c r="B2205" s="101" t="s">
        <v>64</v>
      </c>
      <c r="C2205" s="30">
        <v>40</v>
      </c>
      <c r="D2205" s="101" t="s">
        <v>2342</v>
      </c>
      <c r="E2205" s="183"/>
      <c r="F2205" s="99">
        <v>1.91</v>
      </c>
    </row>
    <row r="2206" spans="2:6" x14ac:dyDescent="0.2">
      <c r="B2206" s="30" t="s">
        <v>64</v>
      </c>
      <c r="C2206" s="30">
        <v>45</v>
      </c>
      <c r="D2206" s="30" t="s">
        <v>516</v>
      </c>
      <c r="E2206" s="101"/>
      <c r="F2206" s="99">
        <f>(0.156)</f>
        <v>0.156</v>
      </c>
    </row>
    <row r="2207" spans="2:6" x14ac:dyDescent="0.2">
      <c r="B2207" s="30" t="s">
        <v>64</v>
      </c>
      <c r="C2207" s="30">
        <v>45</v>
      </c>
      <c r="D2207" s="30" t="s">
        <v>517</v>
      </c>
      <c r="E2207" s="101"/>
      <c r="F2207" s="99">
        <f>(0.17)</f>
        <v>0.17</v>
      </c>
    </row>
    <row r="2208" spans="2:6" x14ac:dyDescent="0.2">
      <c r="B2208" s="30" t="s">
        <v>64</v>
      </c>
      <c r="C2208" s="30">
        <v>45</v>
      </c>
      <c r="D2208" s="30" t="s">
        <v>1193</v>
      </c>
      <c r="E2208" s="101"/>
      <c r="F2208" s="34">
        <f>(0.154)</f>
        <v>0.154</v>
      </c>
    </row>
    <row r="2209" spans="2:6" x14ac:dyDescent="0.2">
      <c r="B2209" s="30" t="s">
        <v>64</v>
      </c>
      <c r="C2209" s="30">
        <v>45</v>
      </c>
      <c r="D2209" s="30" t="s">
        <v>1194</v>
      </c>
      <c r="E2209" s="101"/>
      <c r="F2209" s="34">
        <f>(0.246)</f>
        <v>0.246</v>
      </c>
    </row>
    <row r="2210" spans="2:6" x14ac:dyDescent="0.2">
      <c r="B2210" s="30" t="s">
        <v>64</v>
      </c>
      <c r="C2210" s="30">
        <v>45</v>
      </c>
      <c r="D2210" s="30" t="s">
        <v>518</v>
      </c>
      <c r="E2210" s="101"/>
      <c r="F2210" s="99">
        <v>0.29599999999999999</v>
      </c>
    </row>
    <row r="2211" spans="2:6" x14ac:dyDescent="0.2">
      <c r="B2211" s="30" t="s">
        <v>64</v>
      </c>
      <c r="C2211" s="30">
        <v>45</v>
      </c>
      <c r="D2211" s="30" t="s">
        <v>519</v>
      </c>
      <c r="E2211" s="101"/>
      <c r="F2211" s="34">
        <f>(0.82)-0.338</f>
        <v>0.48199999999999993</v>
      </c>
    </row>
    <row r="2212" spans="2:6" x14ac:dyDescent="0.2">
      <c r="B2212" s="30" t="s">
        <v>64</v>
      </c>
      <c r="C2212" s="30">
        <v>45</v>
      </c>
      <c r="D2212" s="30" t="s">
        <v>520</v>
      </c>
      <c r="E2212" s="101"/>
      <c r="F2212" s="99">
        <f>(0.142)</f>
        <v>0.14199999999999999</v>
      </c>
    </row>
    <row r="2213" spans="2:6" x14ac:dyDescent="0.2">
      <c r="B2213" s="30" t="s">
        <v>64</v>
      </c>
      <c r="C2213" s="30">
        <v>45</v>
      </c>
      <c r="D2213" s="30" t="s">
        <v>521</v>
      </c>
      <c r="E2213" s="101"/>
      <c r="F2213" s="34">
        <f>(0.522)-0.15-(0.246)</f>
        <v>0.126</v>
      </c>
    </row>
    <row r="2214" spans="2:6" x14ac:dyDescent="0.2">
      <c r="B2214" s="30" t="s">
        <v>64</v>
      </c>
      <c r="C2214" s="30">
        <v>45</v>
      </c>
      <c r="D2214" s="30" t="s">
        <v>522</v>
      </c>
      <c r="E2214" s="101"/>
      <c r="F2214" s="99">
        <f>0.092+0.092</f>
        <v>0.184</v>
      </c>
    </row>
    <row r="2215" spans="2:6" x14ac:dyDescent="0.2">
      <c r="B2215" s="30" t="s">
        <v>64</v>
      </c>
      <c r="C2215" s="30">
        <v>45</v>
      </c>
      <c r="D2215" s="30" t="s">
        <v>523</v>
      </c>
      <c r="E2215" s="101"/>
      <c r="F2215" s="34">
        <v>0.31</v>
      </c>
    </row>
    <row r="2216" spans="2:6" x14ac:dyDescent="0.2">
      <c r="B2216" s="30" t="s">
        <v>64</v>
      </c>
      <c r="C2216" s="30">
        <v>45</v>
      </c>
      <c r="D2216" s="30" t="s">
        <v>1195</v>
      </c>
      <c r="E2216" s="101"/>
      <c r="F2216" s="34">
        <f>(0.52)</f>
        <v>0.52</v>
      </c>
    </row>
    <row r="2217" spans="2:6" x14ac:dyDescent="0.2">
      <c r="B2217" s="30" t="s">
        <v>64</v>
      </c>
      <c r="C2217" s="30">
        <v>45</v>
      </c>
      <c r="D2217" s="30" t="s">
        <v>524</v>
      </c>
      <c r="E2217" s="101"/>
      <c r="F2217" s="99">
        <f>0.34-0.2</f>
        <v>0.14000000000000001</v>
      </c>
    </row>
    <row r="2218" spans="2:6" x14ac:dyDescent="0.2">
      <c r="B2218" s="30" t="s">
        <v>64</v>
      </c>
      <c r="C2218" s="30">
        <v>45</v>
      </c>
      <c r="D2218" s="30" t="s">
        <v>1196</v>
      </c>
      <c r="E2218" s="101"/>
      <c r="F2218" s="99">
        <f>(0.21)</f>
        <v>0.21</v>
      </c>
    </row>
    <row r="2219" spans="2:6" x14ac:dyDescent="0.2">
      <c r="B2219" s="30" t="s">
        <v>64</v>
      </c>
      <c r="C2219" s="30">
        <v>45</v>
      </c>
      <c r="D2219" s="30" t="s">
        <v>525</v>
      </c>
      <c r="E2219" s="101"/>
      <c r="F2219" s="34">
        <f>(0.258)</f>
        <v>0.25800000000000001</v>
      </c>
    </row>
    <row r="2220" spans="2:6" x14ac:dyDescent="0.2">
      <c r="B2220" s="30" t="s">
        <v>64</v>
      </c>
      <c r="C2220" s="30">
        <v>45</v>
      </c>
      <c r="D2220" s="30" t="s">
        <v>526</v>
      </c>
      <c r="E2220" s="101"/>
      <c r="F2220" s="34">
        <f>0.35-0.136</f>
        <v>0.21399999999999997</v>
      </c>
    </row>
    <row r="2221" spans="2:6" x14ac:dyDescent="0.2">
      <c r="B2221" s="30" t="s">
        <v>64</v>
      </c>
      <c r="C2221" s="30">
        <v>45</v>
      </c>
      <c r="D2221" s="30" t="s">
        <v>527</v>
      </c>
      <c r="E2221" s="101"/>
      <c r="F2221" s="34">
        <v>0.24</v>
      </c>
    </row>
    <row r="2222" spans="2:6" x14ac:dyDescent="0.2">
      <c r="B2222" s="30" t="s">
        <v>64</v>
      </c>
      <c r="C2222" s="30">
        <v>45</v>
      </c>
      <c r="D2222" s="30" t="s">
        <v>528</v>
      </c>
      <c r="E2222" s="101"/>
      <c r="F2222" s="34">
        <f>0.254-0.086</f>
        <v>0.16800000000000001</v>
      </c>
    </row>
    <row r="2223" spans="2:6" x14ac:dyDescent="0.2">
      <c r="B2223" s="30" t="s">
        <v>64</v>
      </c>
      <c r="C2223" s="30">
        <v>45</v>
      </c>
      <c r="D2223" s="30" t="s">
        <v>529</v>
      </c>
      <c r="E2223" s="101"/>
      <c r="F2223" s="34">
        <v>0.28999999999999998</v>
      </c>
    </row>
    <row r="2224" spans="2:6" x14ac:dyDescent="0.2">
      <c r="B2224" s="30" t="s">
        <v>64</v>
      </c>
      <c r="C2224" s="30">
        <v>45</v>
      </c>
      <c r="D2224" s="30" t="s">
        <v>530</v>
      </c>
      <c r="E2224" s="101"/>
      <c r="F2224" s="34">
        <f>0.546-0.346</f>
        <v>0.20000000000000007</v>
      </c>
    </row>
    <row r="2225" spans="2:6" x14ac:dyDescent="0.2">
      <c r="B2225" s="30" t="s">
        <v>64</v>
      </c>
      <c r="C2225" s="30">
        <v>45</v>
      </c>
      <c r="D2225" s="30" t="s">
        <v>531</v>
      </c>
      <c r="E2225" s="101"/>
      <c r="F2225" s="34">
        <v>0.22800000000000001</v>
      </c>
    </row>
    <row r="2226" spans="2:6" x14ac:dyDescent="0.2">
      <c r="B2226" s="30" t="s">
        <v>64</v>
      </c>
      <c r="C2226" s="30">
        <v>45</v>
      </c>
      <c r="D2226" s="30" t="s">
        <v>532</v>
      </c>
      <c r="E2226" s="101"/>
      <c r="F2226" s="34">
        <f>(0.314)</f>
        <v>0.314</v>
      </c>
    </row>
    <row r="2227" spans="2:6" x14ac:dyDescent="0.2">
      <c r="B2227" s="30" t="s">
        <v>64</v>
      </c>
      <c r="C2227" s="30">
        <v>45</v>
      </c>
      <c r="D2227" s="30" t="s">
        <v>533</v>
      </c>
      <c r="E2227" s="101"/>
      <c r="F2227" s="34">
        <f>1.5-0.374-0.54</f>
        <v>0.58599999999999985</v>
      </c>
    </row>
    <row r="2228" spans="2:6" x14ac:dyDescent="0.2">
      <c r="B2228" s="30" t="s">
        <v>64</v>
      </c>
      <c r="C2228" s="30">
        <v>45</v>
      </c>
      <c r="D2228" s="30" t="s">
        <v>534</v>
      </c>
      <c r="E2228" s="101"/>
      <c r="F2228" s="34">
        <f>(0.582)</f>
        <v>0.58199999999999996</v>
      </c>
    </row>
    <row r="2229" spans="2:6" x14ac:dyDescent="0.2">
      <c r="B2229" s="30" t="s">
        <v>64</v>
      </c>
      <c r="C2229" s="30">
        <v>45</v>
      </c>
      <c r="D2229" s="30" t="s">
        <v>535</v>
      </c>
      <c r="E2229" s="101"/>
      <c r="F2229" s="34">
        <f>(0.336)</f>
        <v>0.33600000000000002</v>
      </c>
    </row>
    <row r="2230" spans="2:6" x14ac:dyDescent="0.2">
      <c r="B2230" s="30" t="s">
        <v>64</v>
      </c>
      <c r="C2230" s="30">
        <v>45</v>
      </c>
      <c r="D2230" s="30" t="s">
        <v>536</v>
      </c>
      <c r="E2230" s="101"/>
      <c r="F2230" s="99">
        <f>1.626-1.446</f>
        <v>0.17999999999999994</v>
      </c>
    </row>
    <row r="2231" spans="2:6" x14ac:dyDescent="0.2">
      <c r="B2231" s="30" t="s">
        <v>64</v>
      </c>
      <c r="C2231" s="30">
        <v>45</v>
      </c>
      <c r="D2231" s="30" t="s">
        <v>537</v>
      </c>
      <c r="E2231" s="101"/>
      <c r="F2231" s="99">
        <f>(0.392)-0.098</f>
        <v>0.29400000000000004</v>
      </c>
    </row>
    <row r="2232" spans="2:6" x14ac:dyDescent="0.2">
      <c r="B2232" s="30" t="s">
        <v>64</v>
      </c>
      <c r="C2232" s="30">
        <v>45</v>
      </c>
      <c r="D2232" s="30" t="s">
        <v>538</v>
      </c>
      <c r="E2232" s="101"/>
      <c r="F2232" s="99">
        <f>(0.464)-0.31</f>
        <v>0.15400000000000003</v>
      </c>
    </row>
    <row r="2233" spans="2:6" x14ac:dyDescent="0.2">
      <c r="B2233" s="30" t="s">
        <v>64</v>
      </c>
      <c r="C2233" s="30">
        <v>45</v>
      </c>
      <c r="D2233" s="30" t="s">
        <v>539</v>
      </c>
      <c r="E2233" s="101"/>
      <c r="F2233" s="99">
        <f>(0.143)</f>
        <v>0.14299999999999999</v>
      </c>
    </row>
    <row r="2234" spans="2:6" x14ac:dyDescent="0.2">
      <c r="B2234" s="30" t="s">
        <v>64</v>
      </c>
      <c r="C2234" s="30">
        <v>45</v>
      </c>
      <c r="D2234" s="30" t="s">
        <v>540</v>
      </c>
      <c r="E2234" s="101"/>
      <c r="F2234" s="99">
        <f>(0.602)</f>
        <v>0.60199999999999998</v>
      </c>
    </row>
    <row r="2235" spans="2:6" x14ac:dyDescent="0.2">
      <c r="B2235" s="30" t="s">
        <v>64</v>
      </c>
      <c r="C2235" s="30">
        <v>45</v>
      </c>
      <c r="D2235" s="30" t="s">
        <v>541</v>
      </c>
      <c r="E2235" s="101"/>
      <c r="F2235" s="99">
        <f>0.56-0.296</f>
        <v>0.26400000000000007</v>
      </c>
    </row>
    <row r="2236" spans="2:6" x14ac:dyDescent="0.2">
      <c r="B2236" s="30" t="s">
        <v>64</v>
      </c>
      <c r="C2236" s="30">
        <v>45</v>
      </c>
      <c r="D2236" s="30" t="s">
        <v>542</v>
      </c>
      <c r="E2236" s="101"/>
      <c r="F2236" s="99">
        <f>1.672-1.056-0.224-(0.154)</f>
        <v>0.23799999999999991</v>
      </c>
    </row>
    <row r="2237" spans="2:6" x14ac:dyDescent="0.2">
      <c r="B2237" s="30" t="s">
        <v>64</v>
      </c>
      <c r="C2237" s="30">
        <v>45</v>
      </c>
      <c r="D2237" s="30" t="s">
        <v>543</v>
      </c>
      <c r="E2237" s="101"/>
      <c r="F2237" s="99">
        <f>(0.694)-0.448</f>
        <v>0.24599999999999994</v>
      </c>
    </row>
    <row r="2238" spans="2:6" x14ac:dyDescent="0.2">
      <c r="B2238" s="30" t="s">
        <v>64</v>
      </c>
      <c r="C2238" s="30">
        <v>45</v>
      </c>
      <c r="D2238" s="30" t="s">
        <v>544</v>
      </c>
      <c r="E2238" s="101"/>
      <c r="F2238" s="34">
        <v>0.30399999999999999</v>
      </c>
    </row>
    <row r="2239" spans="2:6" x14ac:dyDescent="0.2">
      <c r="B2239" s="30" t="s">
        <v>64</v>
      </c>
      <c r="C2239" s="30">
        <v>45</v>
      </c>
      <c r="D2239" s="30" t="s">
        <v>545</v>
      </c>
      <c r="E2239" s="101"/>
      <c r="F2239" s="34">
        <v>1.05</v>
      </c>
    </row>
    <row r="2240" spans="2:6" x14ac:dyDescent="0.2">
      <c r="B2240" s="30" t="s">
        <v>64</v>
      </c>
      <c r="C2240" s="30">
        <v>45</v>
      </c>
      <c r="D2240" s="30" t="s">
        <v>546</v>
      </c>
      <c r="E2240" s="101"/>
      <c r="F2240" s="34">
        <f>(0.52)</f>
        <v>0.52</v>
      </c>
    </row>
    <row r="2241" spans="2:6" x14ac:dyDescent="0.2">
      <c r="B2241" s="30" t="s">
        <v>64</v>
      </c>
      <c r="C2241" s="30">
        <v>45</v>
      </c>
      <c r="D2241" s="30" t="s">
        <v>547</v>
      </c>
      <c r="E2241" s="101"/>
      <c r="F2241" s="34">
        <f>1.36-0.466-0.34</f>
        <v>0.55400000000000005</v>
      </c>
    </row>
    <row r="2242" spans="2:6" x14ac:dyDescent="0.2">
      <c r="B2242" s="30" t="s">
        <v>64</v>
      </c>
      <c r="C2242" s="30">
        <v>45</v>
      </c>
      <c r="D2242" s="30" t="s">
        <v>548</v>
      </c>
      <c r="E2242" s="101"/>
      <c r="F2242" s="34">
        <f>(0.178)</f>
        <v>0.17799999999999999</v>
      </c>
    </row>
    <row r="2243" spans="2:6" x14ac:dyDescent="0.2">
      <c r="B2243" s="30" t="s">
        <v>64</v>
      </c>
      <c r="C2243" s="30">
        <v>45</v>
      </c>
      <c r="D2243" s="30" t="s">
        <v>549</v>
      </c>
      <c r="E2243" s="101"/>
      <c r="F2243" s="34">
        <f>(0.198)</f>
        <v>0.19800000000000001</v>
      </c>
    </row>
    <row r="2244" spans="2:6" x14ac:dyDescent="0.2">
      <c r="B2244" s="30" t="s">
        <v>64</v>
      </c>
      <c r="C2244" s="30">
        <v>45</v>
      </c>
      <c r="D2244" s="30" t="s">
        <v>551</v>
      </c>
      <c r="E2244" s="101"/>
      <c r="F2244" s="34">
        <f>1.008</f>
        <v>1.008</v>
      </c>
    </row>
    <row r="2245" spans="2:6" x14ac:dyDescent="0.2">
      <c r="B2245" s="30" t="s">
        <v>64</v>
      </c>
      <c r="C2245" s="30">
        <v>45</v>
      </c>
      <c r="D2245" s="30" t="s">
        <v>552</v>
      </c>
      <c r="E2245" s="101"/>
      <c r="F2245" s="99">
        <v>0.21</v>
      </c>
    </row>
    <row r="2246" spans="2:6" x14ac:dyDescent="0.2">
      <c r="B2246" s="30" t="s">
        <v>64</v>
      </c>
      <c r="C2246" s="30">
        <v>45</v>
      </c>
      <c r="D2246" s="30" t="s">
        <v>553</v>
      </c>
      <c r="E2246" s="101"/>
      <c r="F2246" s="99">
        <v>0.23200000000000001</v>
      </c>
    </row>
    <row r="2247" spans="2:6" x14ac:dyDescent="0.2">
      <c r="B2247" s="30" t="s">
        <v>64</v>
      </c>
      <c r="C2247" s="30">
        <v>45</v>
      </c>
      <c r="D2247" s="30" t="s">
        <v>554</v>
      </c>
      <c r="E2247" s="101"/>
      <c r="F2247" s="99">
        <f>(0.136)</f>
        <v>0.13600000000000001</v>
      </c>
    </row>
    <row r="2248" spans="2:6" x14ac:dyDescent="0.2">
      <c r="B2248" s="30" t="s">
        <v>64</v>
      </c>
      <c r="C2248" s="30">
        <v>45</v>
      </c>
      <c r="D2248" s="30" t="s">
        <v>555</v>
      </c>
      <c r="E2248" s="101"/>
      <c r="F2248" s="34">
        <f>(0.728)-0.514-0.018</f>
        <v>0.19599999999999998</v>
      </c>
    </row>
    <row r="2249" spans="2:6" x14ac:dyDescent="0.2">
      <c r="B2249" s="30" t="s">
        <v>64</v>
      </c>
      <c r="C2249" s="30">
        <v>45</v>
      </c>
      <c r="D2249" s="30" t="s">
        <v>556</v>
      </c>
      <c r="E2249" s="101"/>
      <c r="F2249" s="34">
        <f>3.35-1.5-1.428</f>
        <v>0.42200000000000015</v>
      </c>
    </row>
    <row r="2250" spans="2:6" x14ac:dyDescent="0.2">
      <c r="B2250" s="30" t="s">
        <v>64</v>
      </c>
      <c r="C2250" s="30">
        <v>45</v>
      </c>
      <c r="D2250" s="30" t="s">
        <v>432</v>
      </c>
      <c r="E2250" s="101"/>
      <c r="F2250" s="34">
        <f>0.732-0.172</f>
        <v>0.56000000000000005</v>
      </c>
    </row>
    <row r="2251" spans="2:6" x14ac:dyDescent="0.2">
      <c r="B2251" s="30" t="s">
        <v>64</v>
      </c>
      <c r="C2251" s="30">
        <v>45</v>
      </c>
      <c r="D2251" s="30" t="s">
        <v>557</v>
      </c>
      <c r="E2251" s="101"/>
      <c r="F2251" s="99">
        <v>0.20799999999999999</v>
      </c>
    </row>
    <row r="2252" spans="2:6" x14ac:dyDescent="0.2">
      <c r="B2252" s="30" t="s">
        <v>64</v>
      </c>
      <c r="C2252" s="30">
        <v>45</v>
      </c>
      <c r="D2252" s="30" t="s">
        <v>558</v>
      </c>
      <c r="E2252" s="101"/>
      <c r="F2252" s="99">
        <v>0.55200000000000005</v>
      </c>
    </row>
    <row r="2253" spans="2:6" x14ac:dyDescent="0.2">
      <c r="B2253" s="30" t="s">
        <v>64</v>
      </c>
      <c r="C2253" s="30">
        <v>45</v>
      </c>
      <c r="D2253" s="30" t="s">
        <v>559</v>
      </c>
      <c r="E2253" s="101"/>
      <c r="F2253" s="34">
        <f>1.465-0.412-0.312-(0.576)</f>
        <v>0.16500000000000015</v>
      </c>
    </row>
    <row r="2254" spans="2:6" x14ac:dyDescent="0.2">
      <c r="B2254" s="30" t="s">
        <v>64</v>
      </c>
      <c r="C2254" s="30">
        <v>45</v>
      </c>
      <c r="D2254" s="30" t="s">
        <v>560</v>
      </c>
      <c r="E2254" s="101"/>
      <c r="F2254" s="34">
        <v>2.238</v>
      </c>
    </row>
    <row r="2255" spans="2:6" x14ac:dyDescent="0.2">
      <c r="B2255" s="30" t="s">
        <v>64</v>
      </c>
      <c r="C2255" s="30">
        <v>45</v>
      </c>
      <c r="D2255" s="30" t="s">
        <v>561</v>
      </c>
      <c r="E2255" s="101"/>
      <c r="F2255" s="34">
        <f>0.678</f>
        <v>0.67800000000000005</v>
      </c>
    </row>
    <row r="2256" spans="2:6" x14ac:dyDescent="0.2">
      <c r="B2256" s="30" t="s">
        <v>64</v>
      </c>
      <c r="C2256" s="30">
        <v>45</v>
      </c>
      <c r="D2256" s="30" t="s">
        <v>562</v>
      </c>
      <c r="E2256" s="101"/>
      <c r="F2256" s="34">
        <f>(1.14)-0.086</f>
        <v>1.0539999999999998</v>
      </c>
    </row>
    <row r="2257" spans="2:6" x14ac:dyDescent="0.2">
      <c r="B2257" s="30" t="s">
        <v>64</v>
      </c>
      <c r="C2257" s="30">
        <v>45</v>
      </c>
      <c r="D2257" s="30" t="s">
        <v>563</v>
      </c>
      <c r="E2257" s="101"/>
      <c r="F2257" s="34">
        <v>1.49</v>
      </c>
    </row>
    <row r="2258" spans="2:6" x14ac:dyDescent="0.2">
      <c r="B2258" s="30" t="s">
        <v>64</v>
      </c>
      <c r="C2258" s="30">
        <v>45</v>
      </c>
      <c r="D2258" s="30" t="s">
        <v>564</v>
      </c>
      <c r="E2258" s="101"/>
      <c r="F2258" s="99">
        <f>2.56</f>
        <v>2.56</v>
      </c>
    </row>
    <row r="2259" spans="2:6" x14ac:dyDescent="0.2">
      <c r="B2259" s="30" t="s">
        <v>64</v>
      </c>
      <c r="C2259" s="30">
        <v>45</v>
      </c>
      <c r="D2259" s="30" t="s">
        <v>565</v>
      </c>
      <c r="E2259" s="101"/>
      <c r="F2259" s="99">
        <f>(0.32)</f>
        <v>0.32</v>
      </c>
    </row>
    <row r="2260" spans="2:6" x14ac:dyDescent="0.2">
      <c r="B2260" s="30" t="s">
        <v>64</v>
      </c>
      <c r="C2260" s="30">
        <v>45</v>
      </c>
      <c r="D2260" s="30" t="s">
        <v>566</v>
      </c>
      <c r="E2260" s="101"/>
      <c r="F2260" s="99">
        <v>2.4900000000000002</v>
      </c>
    </row>
    <row r="2261" spans="2:6" x14ac:dyDescent="0.2">
      <c r="B2261" s="30" t="s">
        <v>64</v>
      </c>
      <c r="C2261" s="30">
        <v>45</v>
      </c>
      <c r="D2261" s="30" t="s">
        <v>567</v>
      </c>
      <c r="E2261" s="101"/>
      <c r="F2261" s="99">
        <v>0.30399999999999999</v>
      </c>
    </row>
    <row r="2262" spans="2:6" x14ac:dyDescent="0.2">
      <c r="B2262" s="30" t="s">
        <v>64</v>
      </c>
      <c r="C2262" s="30">
        <v>45</v>
      </c>
      <c r="D2262" s="30" t="s">
        <v>568</v>
      </c>
      <c r="E2262" s="101"/>
      <c r="F2262" s="99">
        <v>0.36599999999999999</v>
      </c>
    </row>
    <row r="2263" spans="2:6" x14ac:dyDescent="0.2">
      <c r="B2263" s="30" t="s">
        <v>64</v>
      </c>
      <c r="C2263" s="30">
        <v>45</v>
      </c>
      <c r="D2263" s="30" t="s">
        <v>569</v>
      </c>
      <c r="E2263" s="101"/>
      <c r="F2263" s="99">
        <f>0.51-0.102</f>
        <v>0.40800000000000003</v>
      </c>
    </row>
    <row r="2264" spans="2:6" x14ac:dyDescent="0.2">
      <c r="B2264" s="30" t="s">
        <v>64</v>
      </c>
      <c r="C2264" s="30">
        <v>45</v>
      </c>
      <c r="D2264" s="30" t="s">
        <v>571</v>
      </c>
      <c r="E2264" s="101"/>
      <c r="F2264" s="99">
        <f>1.185</f>
        <v>1.1850000000000001</v>
      </c>
    </row>
    <row r="2265" spans="2:6" x14ac:dyDescent="0.2">
      <c r="B2265" s="30" t="s">
        <v>64</v>
      </c>
      <c r="C2265" s="30">
        <v>45</v>
      </c>
      <c r="D2265" s="30" t="s">
        <v>572</v>
      </c>
      <c r="E2265" s="101"/>
      <c r="F2265" s="99">
        <v>1.29</v>
      </c>
    </row>
    <row r="2266" spans="2:6" x14ac:dyDescent="0.2">
      <c r="B2266" s="30" t="s">
        <v>64</v>
      </c>
      <c r="C2266" s="30">
        <v>45</v>
      </c>
      <c r="D2266" s="30" t="s">
        <v>573</v>
      </c>
      <c r="E2266" s="101"/>
      <c r="F2266" s="99">
        <f>0.9</f>
        <v>0.9</v>
      </c>
    </row>
    <row r="2267" spans="2:6" x14ac:dyDescent="0.2">
      <c r="B2267" s="30" t="s">
        <v>64</v>
      </c>
      <c r="C2267" s="30">
        <v>45</v>
      </c>
      <c r="D2267" s="30" t="s">
        <v>574</v>
      </c>
      <c r="E2267" s="101"/>
      <c r="F2267" s="99">
        <f>0.974-0.418</f>
        <v>0.55600000000000005</v>
      </c>
    </row>
    <row r="2268" spans="2:6" x14ac:dyDescent="0.2">
      <c r="B2268" s="30" t="s">
        <v>64</v>
      </c>
      <c r="C2268" s="30">
        <v>45</v>
      </c>
      <c r="D2268" s="30" t="s">
        <v>457</v>
      </c>
      <c r="E2268" s="101"/>
      <c r="F2268" s="99">
        <f>3.18-0.78-(0.128)-0.17-0.538-0.384-0.564-0.138</f>
        <v>0.4780000000000002</v>
      </c>
    </row>
    <row r="2269" spans="2:6" x14ac:dyDescent="0.2">
      <c r="B2269" s="30" t="s">
        <v>64</v>
      </c>
      <c r="C2269" s="30">
        <v>45</v>
      </c>
      <c r="D2269" s="30" t="s">
        <v>1197</v>
      </c>
      <c r="E2269" s="101"/>
      <c r="F2269" s="99">
        <f>(1.264)-0.802</f>
        <v>0.46199999999999997</v>
      </c>
    </row>
    <row r="2270" spans="2:6" x14ac:dyDescent="0.2">
      <c r="B2270" s="30" t="s">
        <v>64</v>
      </c>
      <c r="C2270" s="30">
        <v>45</v>
      </c>
      <c r="D2270" s="30" t="s">
        <v>575</v>
      </c>
      <c r="E2270" s="101"/>
      <c r="F2270" s="182">
        <f>(2.275)-0.23-0.322-0.424-(0.178)</f>
        <v>1.121</v>
      </c>
    </row>
    <row r="2271" spans="2:6" x14ac:dyDescent="0.2">
      <c r="B2271" s="101" t="s">
        <v>64</v>
      </c>
      <c r="C2271" s="30">
        <v>45</v>
      </c>
      <c r="D2271" s="101">
        <v>360</v>
      </c>
      <c r="E2271" s="183"/>
      <c r="F2271" s="99">
        <v>15</v>
      </c>
    </row>
    <row r="2272" spans="2:6" x14ac:dyDescent="0.2">
      <c r="B2272" s="101" t="s">
        <v>64</v>
      </c>
      <c r="C2272" s="30">
        <v>45</v>
      </c>
      <c r="D2272" s="101">
        <v>360</v>
      </c>
      <c r="E2272" s="183"/>
      <c r="F2272" s="99">
        <v>1.0900000000000001</v>
      </c>
    </row>
    <row r="2273" spans="2:6" x14ac:dyDescent="0.2">
      <c r="B2273" s="101" t="s">
        <v>64</v>
      </c>
      <c r="C2273" s="30">
        <v>45</v>
      </c>
      <c r="D2273" s="101">
        <v>360</v>
      </c>
      <c r="E2273" s="183"/>
      <c r="F2273" s="99">
        <v>1.05</v>
      </c>
    </row>
    <row r="2274" spans="2:6" x14ac:dyDescent="0.2">
      <c r="B2274" s="101" t="s">
        <v>64</v>
      </c>
      <c r="C2274" s="30">
        <v>45</v>
      </c>
      <c r="D2274" s="101">
        <v>360</v>
      </c>
      <c r="E2274" s="183"/>
      <c r="F2274" s="99">
        <f>1.22+0.21</f>
        <v>1.43</v>
      </c>
    </row>
    <row r="2275" spans="2:6" x14ac:dyDescent="0.2">
      <c r="B2275" s="101" t="s">
        <v>64</v>
      </c>
      <c r="C2275" s="30">
        <v>45</v>
      </c>
      <c r="D2275" s="101">
        <v>360</v>
      </c>
      <c r="E2275" s="183"/>
      <c r="F2275" s="99">
        <v>0.14499999999999999</v>
      </c>
    </row>
    <row r="2276" spans="2:6" x14ac:dyDescent="0.2">
      <c r="B2276" s="101" t="s">
        <v>64</v>
      </c>
      <c r="C2276" s="30">
        <v>45</v>
      </c>
      <c r="D2276" s="101">
        <v>360</v>
      </c>
      <c r="E2276" s="183"/>
      <c r="F2276" s="99">
        <v>0.11</v>
      </c>
    </row>
    <row r="2277" spans="2:6" x14ac:dyDescent="0.2">
      <c r="B2277" s="101" t="s">
        <v>64</v>
      </c>
      <c r="C2277" s="30">
        <v>45</v>
      </c>
      <c r="D2277" s="101">
        <v>360</v>
      </c>
      <c r="E2277" s="183"/>
      <c r="F2277" s="99"/>
    </row>
    <row r="2278" spans="2:6" x14ac:dyDescent="0.2">
      <c r="B2278" s="101" t="s">
        <v>64</v>
      </c>
      <c r="C2278" s="30">
        <v>45</v>
      </c>
      <c r="D2278" s="101">
        <v>360</v>
      </c>
      <c r="E2278" s="183"/>
      <c r="F2278" s="99"/>
    </row>
    <row r="2279" spans="2:6" x14ac:dyDescent="0.2">
      <c r="B2279" s="101" t="s">
        <v>64</v>
      </c>
      <c r="C2279" s="30">
        <v>45</v>
      </c>
      <c r="D2279" s="101" t="s">
        <v>1770</v>
      </c>
      <c r="E2279" s="183"/>
      <c r="F2279" s="99"/>
    </row>
    <row r="2280" spans="2:6" x14ac:dyDescent="0.2">
      <c r="B2280" s="101" t="s">
        <v>64</v>
      </c>
      <c r="C2280" s="30">
        <v>45</v>
      </c>
      <c r="D2280" s="101" t="s">
        <v>1771</v>
      </c>
      <c r="E2280" s="183"/>
      <c r="F2280" s="99"/>
    </row>
    <row r="2281" spans="2:6" x14ac:dyDescent="0.2">
      <c r="B2281" s="101" t="s">
        <v>64</v>
      </c>
      <c r="C2281" s="30">
        <v>45</v>
      </c>
      <c r="D2281" s="101" t="s">
        <v>1778</v>
      </c>
      <c r="E2281" s="25"/>
      <c r="F2281" s="99">
        <v>5.34</v>
      </c>
    </row>
    <row r="2282" spans="2:6" x14ac:dyDescent="0.2">
      <c r="B2282" s="101" t="s">
        <v>64</v>
      </c>
      <c r="C2282" s="30">
        <v>45</v>
      </c>
      <c r="D2282" s="101">
        <v>370</v>
      </c>
      <c r="E2282" s="25"/>
      <c r="F2282" s="99">
        <v>3.76</v>
      </c>
    </row>
    <row r="2283" spans="2:6" x14ac:dyDescent="0.2">
      <c r="B2283" s="101" t="s">
        <v>64</v>
      </c>
      <c r="C2283" s="30">
        <v>45</v>
      </c>
      <c r="D2283" s="101">
        <v>370</v>
      </c>
      <c r="E2283" s="25"/>
      <c r="F2283" s="99">
        <v>1.63</v>
      </c>
    </row>
    <row r="2284" spans="2:6" x14ac:dyDescent="0.2">
      <c r="B2284" s="101" t="s">
        <v>64</v>
      </c>
      <c r="C2284" s="30">
        <v>45</v>
      </c>
      <c r="D2284" s="101">
        <v>370</v>
      </c>
      <c r="E2284" s="25"/>
      <c r="F2284" s="99">
        <v>0.68</v>
      </c>
    </row>
    <row r="2285" spans="2:6" x14ac:dyDescent="0.2">
      <c r="B2285" s="101" t="s">
        <v>64</v>
      </c>
      <c r="C2285" s="30">
        <v>45</v>
      </c>
      <c r="D2285" s="101">
        <v>370</v>
      </c>
      <c r="E2285" s="25"/>
      <c r="F2285" s="99"/>
    </row>
    <row r="2286" spans="2:6" x14ac:dyDescent="0.2">
      <c r="B2286" s="101" t="s">
        <v>64</v>
      </c>
      <c r="C2286" s="30">
        <v>45</v>
      </c>
      <c r="D2286" s="101" t="s">
        <v>1779</v>
      </c>
      <c r="E2286" s="25"/>
      <c r="F2286" s="99"/>
    </row>
    <row r="2287" spans="2:6" x14ac:dyDescent="0.2">
      <c r="B2287" s="101" t="s">
        <v>64</v>
      </c>
      <c r="C2287" s="30">
        <v>45</v>
      </c>
      <c r="D2287" s="101" t="s">
        <v>1780</v>
      </c>
      <c r="E2287" s="25"/>
      <c r="F2287" s="99"/>
    </row>
    <row r="2288" spans="2:6" x14ac:dyDescent="0.2">
      <c r="B2288" s="101" t="s">
        <v>64</v>
      </c>
      <c r="C2288" s="30">
        <v>45</v>
      </c>
      <c r="D2288" s="101" t="s">
        <v>1781</v>
      </c>
      <c r="E2288" s="183"/>
      <c r="F2288" s="99"/>
    </row>
    <row r="2289" spans="2:6" x14ac:dyDescent="0.2">
      <c r="B2289" s="101" t="s">
        <v>64</v>
      </c>
      <c r="C2289" s="30">
        <v>45</v>
      </c>
      <c r="D2289" s="101" t="s">
        <v>1788</v>
      </c>
      <c r="E2289" s="183"/>
      <c r="F2289" s="99"/>
    </row>
    <row r="2290" spans="2:6" x14ac:dyDescent="0.2">
      <c r="B2290" s="101" t="s">
        <v>64</v>
      </c>
      <c r="C2290" s="30">
        <v>45</v>
      </c>
      <c r="D2290" s="101">
        <v>380</v>
      </c>
      <c r="E2290" s="183"/>
      <c r="F2290" s="99">
        <v>21</v>
      </c>
    </row>
    <row r="2291" spans="2:6" x14ac:dyDescent="0.2">
      <c r="B2291" s="101" t="s">
        <v>64</v>
      </c>
      <c r="C2291" s="30">
        <v>45</v>
      </c>
      <c r="D2291" s="101">
        <v>380</v>
      </c>
      <c r="E2291" s="183"/>
      <c r="F2291" s="99">
        <v>1.52</v>
      </c>
    </row>
    <row r="2292" spans="2:6" x14ac:dyDescent="0.2">
      <c r="B2292" s="101" t="s">
        <v>64</v>
      </c>
      <c r="C2292" s="30">
        <v>45</v>
      </c>
      <c r="D2292" s="101">
        <v>380</v>
      </c>
      <c r="E2292" s="183"/>
      <c r="F2292" s="99">
        <v>3.26</v>
      </c>
    </row>
    <row r="2293" spans="2:6" x14ac:dyDescent="0.2">
      <c r="B2293" s="101" t="s">
        <v>64</v>
      </c>
      <c r="C2293" s="30">
        <v>45</v>
      </c>
      <c r="D2293" s="101">
        <v>380</v>
      </c>
      <c r="E2293" s="183"/>
      <c r="F2293" s="99">
        <v>1.28</v>
      </c>
    </row>
    <row r="2294" spans="2:6" x14ac:dyDescent="0.2">
      <c r="B2294" s="101" t="s">
        <v>64</v>
      </c>
      <c r="C2294" s="30">
        <v>45</v>
      </c>
      <c r="D2294" s="101">
        <v>380</v>
      </c>
      <c r="E2294" s="183"/>
      <c r="F2294" s="99">
        <v>0.18</v>
      </c>
    </row>
    <row r="2295" spans="2:6" x14ac:dyDescent="0.2">
      <c r="B2295" s="101" t="s">
        <v>64</v>
      </c>
      <c r="C2295" s="30">
        <v>45</v>
      </c>
      <c r="D2295" s="101">
        <v>380</v>
      </c>
      <c r="E2295" s="183"/>
      <c r="F2295" s="99">
        <f>0.035</f>
        <v>3.5000000000000003E-2</v>
      </c>
    </row>
    <row r="2296" spans="2:6" x14ac:dyDescent="0.2">
      <c r="B2296" s="101" t="s">
        <v>64</v>
      </c>
      <c r="C2296" s="30">
        <v>45</v>
      </c>
      <c r="D2296" s="101">
        <v>380</v>
      </c>
      <c r="E2296" s="25"/>
      <c r="F2296" s="99"/>
    </row>
    <row r="2297" spans="2:6" x14ac:dyDescent="0.2">
      <c r="B2297" s="101" t="s">
        <v>64</v>
      </c>
      <c r="C2297" s="30">
        <v>45</v>
      </c>
      <c r="D2297" s="101">
        <v>380</v>
      </c>
      <c r="E2297" s="183"/>
      <c r="F2297" s="99">
        <v>5.5E-2</v>
      </c>
    </row>
    <row r="2298" spans="2:6" x14ac:dyDescent="0.2">
      <c r="B2298" s="101" t="s">
        <v>64</v>
      </c>
      <c r="C2298" s="30">
        <v>45</v>
      </c>
      <c r="D2298" s="101" t="s">
        <v>1624</v>
      </c>
      <c r="E2298" s="183"/>
      <c r="F2298" s="99">
        <v>0.33</v>
      </c>
    </row>
    <row r="2299" spans="2:6" x14ac:dyDescent="0.2">
      <c r="B2299" s="101" t="s">
        <v>64</v>
      </c>
      <c r="C2299" s="30">
        <v>45</v>
      </c>
      <c r="D2299" s="101" t="s">
        <v>1793</v>
      </c>
      <c r="E2299" s="183"/>
      <c r="F2299" s="99"/>
    </row>
    <row r="2300" spans="2:6" x14ac:dyDescent="0.2">
      <c r="B2300" s="101" t="s">
        <v>64</v>
      </c>
      <c r="C2300" s="30">
        <v>45</v>
      </c>
      <c r="D2300" s="101" t="s">
        <v>1794</v>
      </c>
      <c r="E2300" s="183"/>
      <c r="F2300" s="99">
        <f>0.58-0.17-0.085-0.08-0.16</f>
        <v>8.4999999999999881E-2</v>
      </c>
    </row>
    <row r="2301" spans="2:6" x14ac:dyDescent="0.2">
      <c r="B2301" s="101" t="s">
        <v>64</v>
      </c>
      <c r="C2301" s="30">
        <v>45</v>
      </c>
      <c r="D2301" s="101" t="s">
        <v>1795</v>
      </c>
      <c r="E2301" s="183"/>
      <c r="F2301" s="99"/>
    </row>
    <row r="2302" spans="2:6" x14ac:dyDescent="0.2">
      <c r="B2302" s="101" t="s">
        <v>64</v>
      </c>
      <c r="C2302" s="30">
        <v>45</v>
      </c>
      <c r="D2302" s="101" t="s">
        <v>1805</v>
      </c>
      <c r="E2302" s="183"/>
      <c r="F2302" s="99"/>
    </row>
    <row r="2303" spans="2:6" x14ac:dyDescent="0.2">
      <c r="B2303" s="101" t="s">
        <v>64</v>
      </c>
      <c r="C2303" s="30">
        <v>45</v>
      </c>
      <c r="D2303" s="101" t="s">
        <v>2513</v>
      </c>
      <c r="E2303" s="183"/>
      <c r="F2303" s="99">
        <v>0.23</v>
      </c>
    </row>
    <row r="2304" spans="2:6" x14ac:dyDescent="0.2">
      <c r="B2304" s="101" t="s">
        <v>64</v>
      </c>
      <c r="C2304" s="30">
        <v>45</v>
      </c>
      <c r="D2304" s="101" t="s">
        <v>1806</v>
      </c>
      <c r="E2304" s="183"/>
      <c r="F2304" s="99">
        <v>0.35</v>
      </c>
    </row>
    <row r="2305" spans="2:6" x14ac:dyDescent="0.2">
      <c r="B2305" s="101" t="s">
        <v>64</v>
      </c>
      <c r="C2305" s="30">
        <v>45</v>
      </c>
      <c r="D2305" s="101">
        <v>390</v>
      </c>
      <c r="E2305" s="183"/>
      <c r="F2305" s="99">
        <v>5.31</v>
      </c>
    </row>
    <row r="2306" spans="2:6" x14ac:dyDescent="0.2">
      <c r="B2306" s="101" t="s">
        <v>64</v>
      </c>
      <c r="C2306" s="30">
        <v>45</v>
      </c>
      <c r="D2306" s="101">
        <v>390</v>
      </c>
      <c r="E2306" s="183"/>
      <c r="F2306" s="99">
        <f>0.25+0.255-0.25</f>
        <v>0.255</v>
      </c>
    </row>
    <row r="2307" spans="2:6" x14ac:dyDescent="0.2">
      <c r="B2307" s="101" t="s">
        <v>64</v>
      </c>
      <c r="C2307" s="30">
        <v>45</v>
      </c>
      <c r="D2307" s="101" t="s">
        <v>1807</v>
      </c>
      <c r="E2307" s="183"/>
      <c r="F2307" s="99">
        <v>1.88</v>
      </c>
    </row>
    <row r="2308" spans="2:6" x14ac:dyDescent="0.2">
      <c r="B2308" s="101" t="s">
        <v>64</v>
      </c>
      <c r="C2308" s="30">
        <v>45</v>
      </c>
      <c r="D2308" s="101" t="s">
        <v>1808</v>
      </c>
      <c r="E2308" s="183"/>
      <c r="F2308" s="99"/>
    </row>
    <row r="2309" spans="2:6" x14ac:dyDescent="0.2">
      <c r="B2309" s="101" t="s">
        <v>64</v>
      </c>
      <c r="C2309" s="30">
        <v>45</v>
      </c>
      <c r="D2309" s="101" t="s">
        <v>2519</v>
      </c>
      <c r="E2309" s="183"/>
      <c r="F2309" s="99">
        <v>2.13</v>
      </c>
    </row>
    <row r="2310" spans="2:6" x14ac:dyDescent="0.2">
      <c r="B2310" s="101" t="s">
        <v>64</v>
      </c>
      <c r="C2310" s="30">
        <v>45</v>
      </c>
      <c r="D2310" s="101">
        <v>400</v>
      </c>
      <c r="E2310" s="183"/>
      <c r="F2310" s="99">
        <f>6.74+4.23</f>
        <v>10.97</v>
      </c>
    </row>
    <row r="2311" spans="2:6" x14ac:dyDescent="0.2">
      <c r="B2311" s="101" t="s">
        <v>64</v>
      </c>
      <c r="C2311" s="30">
        <v>45</v>
      </c>
      <c r="D2311" s="101">
        <v>400</v>
      </c>
      <c r="E2311" s="183"/>
      <c r="F2311" s="99">
        <f>5.24+3.9</f>
        <v>9.14</v>
      </c>
    </row>
    <row r="2312" spans="2:6" x14ac:dyDescent="0.2">
      <c r="B2312" s="101" t="s">
        <v>64</v>
      </c>
      <c r="C2312" s="30">
        <v>45</v>
      </c>
      <c r="D2312" s="101">
        <v>400</v>
      </c>
      <c r="E2312" s="183"/>
      <c r="F2312" s="99">
        <f>5.44+5.01</f>
        <v>10.45</v>
      </c>
    </row>
    <row r="2313" spans="2:6" x14ac:dyDescent="0.2">
      <c r="B2313" s="101" t="s">
        <v>64</v>
      </c>
      <c r="C2313" s="30">
        <v>45</v>
      </c>
      <c r="D2313" s="101" t="s">
        <v>1817</v>
      </c>
      <c r="E2313" s="183"/>
      <c r="F2313" s="99">
        <v>9.5</v>
      </c>
    </row>
    <row r="2314" spans="2:6" x14ac:dyDescent="0.2">
      <c r="B2314" s="101" t="s">
        <v>64</v>
      </c>
      <c r="C2314" s="30">
        <v>45</v>
      </c>
      <c r="D2314" s="101">
        <v>400</v>
      </c>
      <c r="E2314" s="183"/>
      <c r="F2314" s="99">
        <v>0.95</v>
      </c>
    </row>
    <row r="2315" spans="2:6" x14ac:dyDescent="0.2">
      <c r="B2315" s="101" t="s">
        <v>64</v>
      </c>
      <c r="C2315" s="30">
        <v>45</v>
      </c>
      <c r="D2315" s="101" t="s">
        <v>1817</v>
      </c>
      <c r="E2315" s="183"/>
      <c r="F2315" s="99"/>
    </row>
    <row r="2316" spans="2:6" x14ac:dyDescent="0.2">
      <c r="B2316" s="101" t="s">
        <v>64</v>
      </c>
      <c r="C2316" s="30">
        <v>45</v>
      </c>
      <c r="D2316" s="101">
        <v>400</v>
      </c>
      <c r="E2316" s="183"/>
      <c r="F2316" s="99">
        <f>5.74+3.635+1.16+0.84+0.955-1.415+1.195+0.97-1.16-0.74</f>
        <v>11.18</v>
      </c>
    </row>
    <row r="2317" spans="2:6" x14ac:dyDescent="0.2">
      <c r="B2317" s="101" t="s">
        <v>64</v>
      </c>
      <c r="C2317" s="30">
        <v>45</v>
      </c>
      <c r="D2317" s="101" t="s">
        <v>1817</v>
      </c>
      <c r="E2317" s="183"/>
      <c r="F2317" s="99">
        <v>7.0000000000000007E-2</v>
      </c>
    </row>
    <row r="2318" spans="2:6" x14ac:dyDescent="0.2">
      <c r="B2318" s="101" t="s">
        <v>64</v>
      </c>
      <c r="C2318" s="30">
        <v>45</v>
      </c>
      <c r="D2318" s="101" t="s">
        <v>1821</v>
      </c>
      <c r="E2318" s="183"/>
      <c r="F2318" s="99"/>
    </row>
    <row r="2319" spans="2:6" x14ac:dyDescent="0.2">
      <c r="B2319" s="101" t="s">
        <v>64</v>
      </c>
      <c r="C2319" s="30">
        <v>45</v>
      </c>
      <c r="D2319" s="101">
        <v>410</v>
      </c>
      <c r="E2319" s="183"/>
      <c r="F2319" s="99">
        <v>5.88</v>
      </c>
    </row>
    <row r="2320" spans="2:6" x14ac:dyDescent="0.2">
      <c r="B2320" s="101" t="s">
        <v>64</v>
      </c>
      <c r="C2320" s="30">
        <v>45</v>
      </c>
      <c r="D2320" s="101">
        <v>410</v>
      </c>
      <c r="E2320" s="183"/>
      <c r="F2320" s="99">
        <v>5.6</v>
      </c>
    </row>
    <row r="2321" spans="2:6" x14ac:dyDescent="0.2">
      <c r="B2321" s="101" t="s">
        <v>64</v>
      </c>
      <c r="C2321" s="30">
        <v>45</v>
      </c>
      <c r="D2321" s="101" t="s">
        <v>1825</v>
      </c>
      <c r="E2321" s="183"/>
      <c r="F2321" s="99">
        <v>0.25</v>
      </c>
    </row>
    <row r="2322" spans="2:6" x14ac:dyDescent="0.2">
      <c r="B2322" s="101" t="s">
        <v>64</v>
      </c>
      <c r="C2322" s="30">
        <v>45</v>
      </c>
      <c r="D2322" s="101" t="s">
        <v>1825</v>
      </c>
      <c r="E2322" s="183"/>
      <c r="F2322" s="99">
        <v>6.5000000000000002E-2</v>
      </c>
    </row>
    <row r="2323" spans="2:6" x14ac:dyDescent="0.2">
      <c r="B2323" s="101" t="s">
        <v>64</v>
      </c>
      <c r="C2323" s="30">
        <v>45</v>
      </c>
      <c r="D2323" s="101" t="s">
        <v>1826</v>
      </c>
      <c r="E2323" s="183"/>
      <c r="F2323" s="99"/>
    </row>
    <row r="2324" spans="2:6" x14ac:dyDescent="0.2">
      <c r="B2324" s="101" t="s">
        <v>64</v>
      </c>
      <c r="C2324" s="30">
        <v>45</v>
      </c>
      <c r="D2324" s="101" t="s">
        <v>2524</v>
      </c>
      <c r="E2324" s="183"/>
      <c r="F2324" s="99"/>
    </row>
    <row r="2325" spans="2:6" x14ac:dyDescent="0.2">
      <c r="B2325" s="101" t="s">
        <v>64</v>
      </c>
      <c r="C2325" s="30">
        <v>45</v>
      </c>
      <c r="D2325" s="101" t="s">
        <v>1827</v>
      </c>
      <c r="E2325" s="183"/>
      <c r="F2325" s="99">
        <v>5.64</v>
      </c>
    </row>
    <row r="2326" spans="2:6" x14ac:dyDescent="0.2">
      <c r="B2326" s="101" t="s">
        <v>64</v>
      </c>
      <c r="C2326" s="30">
        <v>45</v>
      </c>
      <c r="D2326" s="101" t="s">
        <v>1831</v>
      </c>
      <c r="E2326" s="183"/>
      <c r="F2326" s="99">
        <v>8.5000000000000006E-2</v>
      </c>
    </row>
    <row r="2327" spans="2:6" x14ac:dyDescent="0.2">
      <c r="B2327" s="101" t="s">
        <v>64</v>
      </c>
      <c r="C2327" s="30">
        <v>45</v>
      </c>
      <c r="D2327" s="101">
        <v>420</v>
      </c>
      <c r="E2327" s="183"/>
      <c r="F2327" s="99">
        <v>6.02</v>
      </c>
    </row>
    <row r="2328" spans="2:6" x14ac:dyDescent="0.2">
      <c r="B2328" s="101" t="s">
        <v>64</v>
      </c>
      <c r="C2328" s="30">
        <v>45</v>
      </c>
      <c r="D2328" s="101">
        <v>420</v>
      </c>
      <c r="E2328" s="183"/>
      <c r="F2328" s="99">
        <v>5.71</v>
      </c>
    </row>
    <row r="2329" spans="2:6" x14ac:dyDescent="0.2">
      <c r="B2329" s="101" t="s">
        <v>64</v>
      </c>
      <c r="C2329" s="30">
        <v>45</v>
      </c>
      <c r="D2329" s="101">
        <v>420</v>
      </c>
      <c r="E2329" s="183"/>
      <c r="F2329" s="99">
        <f>5.77+0.4+0.1</f>
        <v>6.27</v>
      </c>
    </row>
    <row r="2330" spans="2:6" x14ac:dyDescent="0.2">
      <c r="B2330" s="101" t="s">
        <v>64</v>
      </c>
      <c r="C2330" s="30">
        <v>45</v>
      </c>
      <c r="D2330" s="101" t="s">
        <v>1834</v>
      </c>
      <c r="E2330" s="183"/>
      <c r="F2330" s="99"/>
    </row>
    <row r="2331" spans="2:6" x14ac:dyDescent="0.2">
      <c r="B2331" s="101" t="s">
        <v>64</v>
      </c>
      <c r="C2331" s="30">
        <v>45</v>
      </c>
      <c r="D2331" s="101" t="s">
        <v>2526</v>
      </c>
      <c r="E2331" s="183"/>
      <c r="F2331" s="99"/>
    </row>
    <row r="2332" spans="2:6" x14ac:dyDescent="0.2">
      <c r="B2332" s="101" t="s">
        <v>64</v>
      </c>
      <c r="C2332" s="30">
        <v>45</v>
      </c>
      <c r="D2332" s="101">
        <v>430</v>
      </c>
      <c r="E2332" s="183"/>
      <c r="F2332" s="99">
        <v>7.04</v>
      </c>
    </row>
    <row r="2333" spans="2:6" x14ac:dyDescent="0.2">
      <c r="B2333" s="101" t="s">
        <v>64</v>
      </c>
      <c r="C2333" s="30">
        <v>45</v>
      </c>
      <c r="D2333" s="101">
        <v>430</v>
      </c>
      <c r="E2333" s="25"/>
      <c r="F2333" s="99">
        <f>6.68+6.8</f>
        <v>13.48</v>
      </c>
    </row>
    <row r="2334" spans="2:6" x14ac:dyDescent="0.2">
      <c r="B2334" s="101" t="s">
        <v>64</v>
      </c>
      <c r="C2334" s="30">
        <v>45</v>
      </c>
      <c r="D2334" s="101" t="s">
        <v>1842</v>
      </c>
      <c r="E2334" s="183"/>
      <c r="F2334" s="99">
        <v>3</v>
      </c>
    </row>
    <row r="2335" spans="2:6" x14ac:dyDescent="0.2">
      <c r="B2335" s="101" t="s">
        <v>64</v>
      </c>
      <c r="C2335" s="30">
        <v>45</v>
      </c>
      <c r="D2335" s="101">
        <v>430</v>
      </c>
      <c r="E2335" s="183"/>
      <c r="F2335" s="99">
        <v>1.6</v>
      </c>
    </row>
    <row r="2336" spans="2:6" x14ac:dyDescent="0.2">
      <c r="B2336" s="101" t="s">
        <v>64</v>
      </c>
      <c r="C2336" s="30">
        <v>45</v>
      </c>
      <c r="D2336" s="101">
        <v>430</v>
      </c>
      <c r="E2336" s="25"/>
      <c r="F2336" s="99">
        <v>0.78</v>
      </c>
    </row>
    <row r="2337" spans="2:6" x14ac:dyDescent="0.2">
      <c r="B2337" s="101" t="s">
        <v>64</v>
      </c>
      <c r="C2337" s="30">
        <v>45</v>
      </c>
      <c r="D2337" s="101">
        <v>430</v>
      </c>
      <c r="E2337" s="183"/>
      <c r="F2337" s="99">
        <v>0.38</v>
      </c>
    </row>
    <row r="2338" spans="2:6" x14ac:dyDescent="0.2">
      <c r="B2338" s="101" t="s">
        <v>64</v>
      </c>
      <c r="C2338" s="30">
        <v>45</v>
      </c>
      <c r="D2338" s="101" t="s">
        <v>1842</v>
      </c>
      <c r="E2338" s="183"/>
      <c r="F2338" s="99">
        <f>0.23+0.18</f>
        <v>0.41000000000000003</v>
      </c>
    </row>
    <row r="2339" spans="2:6" x14ac:dyDescent="0.2">
      <c r="B2339" s="101" t="s">
        <v>64</v>
      </c>
      <c r="C2339" s="30">
        <v>45</v>
      </c>
      <c r="D2339" s="101">
        <v>430</v>
      </c>
      <c r="E2339" s="25"/>
      <c r="F2339" s="99">
        <v>7.0000000000000007E-2</v>
      </c>
    </row>
    <row r="2340" spans="2:6" x14ac:dyDescent="0.2">
      <c r="B2340" s="101" t="s">
        <v>64</v>
      </c>
      <c r="C2340" s="30">
        <v>45</v>
      </c>
      <c r="D2340" s="101" t="s">
        <v>1843</v>
      </c>
      <c r="E2340" s="25"/>
      <c r="F2340" s="99"/>
    </row>
    <row r="2341" spans="2:6" x14ac:dyDescent="0.2">
      <c r="B2341" s="101" t="s">
        <v>64</v>
      </c>
      <c r="C2341" s="30">
        <v>45</v>
      </c>
      <c r="D2341" s="101" t="s">
        <v>1847</v>
      </c>
      <c r="E2341" s="183"/>
      <c r="F2341" s="99">
        <f>0.26+0.09</f>
        <v>0.35</v>
      </c>
    </row>
    <row r="2342" spans="2:6" x14ac:dyDescent="0.2">
      <c r="B2342" s="101" t="s">
        <v>64</v>
      </c>
      <c r="C2342" s="30">
        <v>45</v>
      </c>
      <c r="D2342" s="101">
        <v>440</v>
      </c>
      <c r="E2342" s="183"/>
      <c r="F2342" s="99">
        <f>12.795-3.33</f>
        <v>9.4649999999999999</v>
      </c>
    </row>
    <row r="2343" spans="2:6" x14ac:dyDescent="0.2">
      <c r="B2343" s="101" t="s">
        <v>64</v>
      </c>
      <c r="C2343" s="30">
        <v>45</v>
      </c>
      <c r="D2343" s="101">
        <v>440</v>
      </c>
      <c r="E2343" s="183"/>
      <c r="F2343" s="99">
        <v>7.5549999999999997</v>
      </c>
    </row>
    <row r="2344" spans="2:6" x14ac:dyDescent="0.2">
      <c r="B2344" s="101" t="s">
        <v>64</v>
      </c>
      <c r="C2344" s="30">
        <v>45</v>
      </c>
      <c r="D2344" s="101" t="s">
        <v>1851</v>
      </c>
      <c r="E2344" s="183"/>
      <c r="F2344" s="99">
        <v>11.23</v>
      </c>
    </row>
    <row r="2345" spans="2:6" x14ac:dyDescent="0.2">
      <c r="B2345" s="101" t="s">
        <v>64</v>
      </c>
      <c r="C2345" s="30">
        <v>45</v>
      </c>
      <c r="D2345" s="101">
        <v>440</v>
      </c>
      <c r="E2345" s="183"/>
      <c r="F2345" s="99">
        <v>3.85</v>
      </c>
    </row>
    <row r="2346" spans="2:6" x14ac:dyDescent="0.2">
      <c r="B2346" s="101" t="s">
        <v>64</v>
      </c>
      <c r="C2346" s="30">
        <v>45</v>
      </c>
      <c r="D2346" s="101">
        <v>440</v>
      </c>
      <c r="E2346" s="183"/>
      <c r="F2346" s="99">
        <v>0.08</v>
      </c>
    </row>
    <row r="2347" spans="2:6" x14ac:dyDescent="0.2">
      <c r="B2347" s="101" t="s">
        <v>64</v>
      </c>
      <c r="C2347" s="30">
        <v>45</v>
      </c>
      <c r="D2347" s="101" t="s">
        <v>1852</v>
      </c>
      <c r="E2347" s="183"/>
      <c r="F2347" s="99">
        <v>0.33</v>
      </c>
    </row>
    <row r="2348" spans="2:6" x14ac:dyDescent="0.2">
      <c r="B2348" s="101" t="s">
        <v>64</v>
      </c>
      <c r="C2348" s="30">
        <v>45</v>
      </c>
      <c r="D2348" s="101">
        <v>445</v>
      </c>
      <c r="E2348" s="183"/>
      <c r="F2348" s="99"/>
    </row>
    <row r="2349" spans="2:6" x14ac:dyDescent="0.2">
      <c r="B2349" s="101" t="s">
        <v>64</v>
      </c>
      <c r="C2349" s="30">
        <v>45</v>
      </c>
      <c r="D2349" s="101" t="s">
        <v>1858</v>
      </c>
      <c r="E2349" s="183"/>
      <c r="F2349" s="99">
        <v>2.64</v>
      </c>
    </row>
    <row r="2350" spans="2:6" x14ac:dyDescent="0.2">
      <c r="B2350" s="101" t="s">
        <v>64</v>
      </c>
      <c r="C2350" s="30">
        <v>45</v>
      </c>
      <c r="D2350" s="101">
        <v>450</v>
      </c>
      <c r="E2350" s="183"/>
      <c r="F2350" s="99">
        <v>5.56</v>
      </c>
    </row>
    <row r="2351" spans="2:6" x14ac:dyDescent="0.2">
      <c r="B2351" s="101" t="s">
        <v>64</v>
      </c>
      <c r="C2351" s="30">
        <v>45</v>
      </c>
      <c r="D2351" s="101">
        <v>450</v>
      </c>
      <c r="E2351" s="183"/>
      <c r="F2351" s="99">
        <v>4.83</v>
      </c>
    </row>
    <row r="2352" spans="2:6" x14ac:dyDescent="0.2">
      <c r="B2352" s="101" t="s">
        <v>64</v>
      </c>
      <c r="C2352" s="30">
        <v>45</v>
      </c>
      <c r="D2352" s="101">
        <v>450</v>
      </c>
      <c r="E2352" s="183"/>
      <c r="F2352" s="99">
        <v>2.34</v>
      </c>
    </row>
    <row r="2353" spans="2:6" x14ac:dyDescent="0.2">
      <c r="B2353" s="101" t="s">
        <v>64</v>
      </c>
      <c r="C2353" s="30">
        <v>45</v>
      </c>
      <c r="D2353" s="101">
        <v>450</v>
      </c>
      <c r="E2353" s="183"/>
      <c r="F2353" s="99">
        <f>1.86+1.95</f>
        <v>3.81</v>
      </c>
    </row>
    <row r="2354" spans="2:6" x14ac:dyDescent="0.2">
      <c r="B2354" s="101" t="s">
        <v>64</v>
      </c>
      <c r="C2354" s="30">
        <v>45</v>
      </c>
      <c r="D2354" s="101">
        <v>450</v>
      </c>
      <c r="E2354" s="183"/>
      <c r="F2354" s="99"/>
    </row>
    <row r="2355" spans="2:6" x14ac:dyDescent="0.2">
      <c r="B2355" s="101" t="s">
        <v>64</v>
      </c>
      <c r="C2355" s="30">
        <v>45</v>
      </c>
      <c r="D2355" s="101" t="s">
        <v>1861</v>
      </c>
      <c r="E2355" s="183"/>
      <c r="F2355" s="99"/>
    </row>
    <row r="2356" spans="2:6" x14ac:dyDescent="0.2">
      <c r="B2356" s="101" t="s">
        <v>64</v>
      </c>
      <c r="C2356" s="30">
        <v>45</v>
      </c>
      <c r="D2356" s="101" t="s">
        <v>1862</v>
      </c>
      <c r="E2356" s="25"/>
      <c r="F2356" s="99"/>
    </row>
    <row r="2357" spans="2:6" x14ac:dyDescent="0.2">
      <c r="B2357" s="101" t="s">
        <v>64</v>
      </c>
      <c r="C2357" s="30">
        <v>45</v>
      </c>
      <c r="D2357" s="101" t="s">
        <v>1863</v>
      </c>
      <c r="E2357" s="183"/>
      <c r="F2357" s="99"/>
    </row>
    <row r="2358" spans="2:6" x14ac:dyDescent="0.2">
      <c r="B2358" s="101" t="s">
        <v>64</v>
      </c>
      <c r="C2358" s="30">
        <v>45</v>
      </c>
      <c r="D2358" s="101" t="s">
        <v>1864</v>
      </c>
      <c r="E2358" s="183"/>
      <c r="F2358" s="99">
        <f>0.36-0.17</f>
        <v>0.18999999999999997</v>
      </c>
    </row>
    <row r="2359" spans="2:6" x14ac:dyDescent="0.2">
      <c r="B2359" s="101" t="s">
        <v>64</v>
      </c>
      <c r="C2359" s="30">
        <v>45</v>
      </c>
      <c r="D2359" s="101" t="s">
        <v>1871</v>
      </c>
      <c r="E2359" s="25"/>
      <c r="F2359" s="99">
        <v>15.6</v>
      </c>
    </row>
    <row r="2360" spans="2:6" x14ac:dyDescent="0.2">
      <c r="B2360" s="101" t="s">
        <v>64</v>
      </c>
      <c r="C2360" s="30">
        <v>45</v>
      </c>
      <c r="D2360" s="101" t="s">
        <v>1871</v>
      </c>
      <c r="E2360" s="25"/>
      <c r="F2360" s="99"/>
    </row>
    <row r="2361" spans="2:6" x14ac:dyDescent="0.2">
      <c r="B2361" s="101" t="s">
        <v>64</v>
      </c>
      <c r="C2361" s="30">
        <v>45</v>
      </c>
      <c r="D2361" s="101">
        <v>460</v>
      </c>
      <c r="E2361" s="25"/>
      <c r="F2361" s="99">
        <v>5.82</v>
      </c>
    </row>
    <row r="2362" spans="2:6" x14ac:dyDescent="0.2">
      <c r="B2362" s="101" t="s">
        <v>64</v>
      </c>
      <c r="C2362" s="30">
        <v>45</v>
      </c>
      <c r="D2362" s="101">
        <v>460</v>
      </c>
      <c r="E2362" s="25"/>
      <c r="F2362" s="99">
        <f>5.22+3.79</f>
        <v>9.01</v>
      </c>
    </row>
    <row r="2363" spans="2:6" x14ac:dyDescent="0.2">
      <c r="B2363" s="101" t="s">
        <v>64</v>
      </c>
      <c r="C2363" s="30">
        <v>45</v>
      </c>
      <c r="D2363" s="101">
        <v>460</v>
      </c>
      <c r="E2363" s="25"/>
      <c r="F2363" s="99">
        <f>4.62+4.8</f>
        <v>9.42</v>
      </c>
    </row>
    <row r="2364" spans="2:6" x14ac:dyDescent="0.2">
      <c r="B2364" s="101" t="s">
        <v>64</v>
      </c>
      <c r="C2364" s="30">
        <v>45</v>
      </c>
      <c r="D2364" s="101">
        <v>460</v>
      </c>
      <c r="E2364" s="25"/>
      <c r="F2364" s="99">
        <f>0.49+0.13+0.15</f>
        <v>0.77</v>
      </c>
    </row>
    <row r="2365" spans="2:6" x14ac:dyDescent="0.2">
      <c r="B2365" s="101" t="s">
        <v>64</v>
      </c>
      <c r="C2365" s="30">
        <v>45</v>
      </c>
      <c r="D2365" s="101" t="s">
        <v>1878</v>
      </c>
      <c r="E2365" s="25"/>
      <c r="F2365" s="99">
        <v>0.06</v>
      </c>
    </row>
    <row r="2366" spans="2:6" x14ac:dyDescent="0.2">
      <c r="B2366" s="101" t="s">
        <v>64</v>
      </c>
      <c r="C2366" s="30">
        <v>45</v>
      </c>
      <c r="D2366" s="101">
        <v>470</v>
      </c>
      <c r="E2366" s="183"/>
      <c r="F2366" s="99">
        <f>3.81+6.91</f>
        <v>10.72</v>
      </c>
    </row>
    <row r="2367" spans="2:6" x14ac:dyDescent="0.2">
      <c r="B2367" s="101" t="s">
        <v>64</v>
      </c>
      <c r="C2367" s="30">
        <v>45</v>
      </c>
      <c r="D2367" s="101">
        <v>470</v>
      </c>
      <c r="E2367" s="183"/>
      <c r="F2367" s="99">
        <v>0.87</v>
      </c>
    </row>
    <row r="2368" spans="2:6" x14ac:dyDescent="0.2">
      <c r="B2368" s="101" t="s">
        <v>64</v>
      </c>
      <c r="C2368" s="30">
        <v>45</v>
      </c>
      <c r="D2368" s="101">
        <v>470</v>
      </c>
      <c r="E2368" s="183"/>
      <c r="F2368" s="99">
        <v>0.03</v>
      </c>
    </row>
    <row r="2369" spans="2:6" x14ac:dyDescent="0.2">
      <c r="B2369" s="101" t="s">
        <v>64</v>
      </c>
      <c r="C2369" s="30">
        <v>45</v>
      </c>
      <c r="D2369" s="101" t="s">
        <v>1894</v>
      </c>
      <c r="E2369" s="183"/>
      <c r="F2369" s="99">
        <v>0.18</v>
      </c>
    </row>
    <row r="2370" spans="2:6" x14ac:dyDescent="0.2">
      <c r="B2370" s="101" t="s">
        <v>64</v>
      </c>
      <c r="C2370" s="30">
        <v>45</v>
      </c>
      <c r="D2370" s="101" t="s">
        <v>1900</v>
      </c>
      <c r="E2370" s="183"/>
      <c r="F2370" s="99">
        <v>5.55</v>
      </c>
    </row>
    <row r="2371" spans="2:6" x14ac:dyDescent="0.2">
      <c r="B2371" s="101" t="s">
        <v>64</v>
      </c>
      <c r="C2371" s="30">
        <v>45</v>
      </c>
      <c r="D2371" s="101">
        <v>480</v>
      </c>
      <c r="E2371" s="183"/>
      <c r="F2371" s="99">
        <v>3.83</v>
      </c>
    </row>
    <row r="2372" spans="2:6" x14ac:dyDescent="0.2">
      <c r="B2372" s="101" t="s">
        <v>64</v>
      </c>
      <c r="C2372" s="30">
        <v>45</v>
      </c>
      <c r="D2372" s="101">
        <v>480</v>
      </c>
      <c r="E2372" s="183"/>
      <c r="F2372" s="99">
        <f>5.26+4.91</f>
        <v>10.17</v>
      </c>
    </row>
    <row r="2373" spans="2:6" x14ac:dyDescent="0.2">
      <c r="B2373" s="101" t="s">
        <v>64</v>
      </c>
      <c r="C2373" s="30">
        <v>45</v>
      </c>
      <c r="D2373" s="101">
        <v>480</v>
      </c>
      <c r="E2373" s="183"/>
      <c r="F2373" s="99">
        <v>4.41</v>
      </c>
    </row>
    <row r="2374" spans="2:6" x14ac:dyDescent="0.2">
      <c r="B2374" s="101" t="s">
        <v>64</v>
      </c>
      <c r="C2374" s="30">
        <v>45</v>
      </c>
      <c r="D2374" s="101">
        <v>480</v>
      </c>
      <c r="E2374" s="183"/>
      <c r="F2374" s="99">
        <v>4.13</v>
      </c>
    </row>
    <row r="2375" spans="2:6" x14ac:dyDescent="0.2">
      <c r="B2375" s="101" t="s">
        <v>64</v>
      </c>
      <c r="C2375" s="30">
        <v>45</v>
      </c>
      <c r="D2375" s="101">
        <v>480</v>
      </c>
      <c r="E2375" s="183"/>
      <c r="F2375" s="99">
        <v>3.0449999999999999</v>
      </c>
    </row>
    <row r="2376" spans="2:6" x14ac:dyDescent="0.2">
      <c r="B2376" s="101" t="s">
        <v>64</v>
      </c>
      <c r="C2376" s="30">
        <v>45</v>
      </c>
      <c r="D2376" s="101">
        <v>480</v>
      </c>
      <c r="E2376" s="183"/>
      <c r="F2376" s="99">
        <v>1.49</v>
      </c>
    </row>
    <row r="2377" spans="2:6" x14ac:dyDescent="0.2">
      <c r="B2377" s="101" t="s">
        <v>64</v>
      </c>
      <c r="C2377" s="30">
        <v>45</v>
      </c>
      <c r="D2377" s="101" t="s">
        <v>1903</v>
      </c>
      <c r="E2377" s="183"/>
      <c r="F2377" s="99"/>
    </row>
    <row r="2378" spans="2:6" x14ac:dyDescent="0.2">
      <c r="B2378" s="101" t="s">
        <v>64</v>
      </c>
      <c r="C2378" s="30">
        <v>45</v>
      </c>
      <c r="D2378" s="101" t="s">
        <v>2537</v>
      </c>
      <c r="E2378" s="25"/>
      <c r="F2378" s="99"/>
    </row>
    <row r="2379" spans="2:6" x14ac:dyDescent="0.2">
      <c r="B2379" s="101" t="s">
        <v>64</v>
      </c>
      <c r="C2379" s="30">
        <v>45</v>
      </c>
      <c r="D2379" s="101" t="s">
        <v>2538</v>
      </c>
      <c r="E2379" s="25"/>
      <c r="F2379" s="99"/>
    </row>
    <row r="2380" spans="2:6" x14ac:dyDescent="0.2">
      <c r="B2380" s="101" t="s">
        <v>64</v>
      </c>
      <c r="C2380" s="30">
        <v>45</v>
      </c>
      <c r="D2380" s="101" t="s">
        <v>1907</v>
      </c>
      <c r="E2380" s="183"/>
      <c r="F2380" s="99"/>
    </row>
    <row r="2381" spans="2:6" x14ac:dyDescent="0.2">
      <c r="B2381" s="101" t="s">
        <v>64</v>
      </c>
      <c r="C2381" s="30">
        <v>45</v>
      </c>
      <c r="D2381" s="101" t="s">
        <v>2539</v>
      </c>
      <c r="E2381" s="25"/>
      <c r="F2381" s="99">
        <v>6.35</v>
      </c>
    </row>
    <row r="2382" spans="2:6" x14ac:dyDescent="0.2">
      <c r="B2382" s="101" t="s">
        <v>64</v>
      </c>
      <c r="C2382" s="30">
        <v>45</v>
      </c>
      <c r="D2382" s="101">
        <v>490</v>
      </c>
      <c r="E2382" s="183"/>
      <c r="F2382" s="99">
        <v>0.35</v>
      </c>
    </row>
    <row r="2383" spans="2:6" x14ac:dyDescent="0.2">
      <c r="B2383" s="101" t="s">
        <v>64</v>
      </c>
      <c r="C2383" s="30">
        <v>45</v>
      </c>
      <c r="D2383" s="101">
        <v>500</v>
      </c>
      <c r="E2383" s="183"/>
      <c r="F2383" s="99">
        <f>8.65+0.62</f>
        <v>9.27</v>
      </c>
    </row>
    <row r="2384" spans="2:6" x14ac:dyDescent="0.2">
      <c r="B2384" s="101" t="s">
        <v>64</v>
      </c>
      <c r="C2384" s="30">
        <v>45</v>
      </c>
      <c r="D2384" s="101">
        <v>500</v>
      </c>
      <c r="E2384" s="183"/>
      <c r="F2384" s="99">
        <v>6.66</v>
      </c>
    </row>
    <row r="2385" spans="2:6" x14ac:dyDescent="0.2">
      <c r="B2385" s="101" t="s">
        <v>64</v>
      </c>
      <c r="C2385" s="30">
        <v>45</v>
      </c>
      <c r="D2385" s="101">
        <v>500</v>
      </c>
      <c r="E2385" s="183"/>
      <c r="F2385" s="99">
        <v>0.57999999999999996</v>
      </c>
    </row>
    <row r="2386" spans="2:6" x14ac:dyDescent="0.2">
      <c r="B2386" s="101" t="s">
        <v>64</v>
      </c>
      <c r="C2386" s="30">
        <v>45</v>
      </c>
      <c r="D2386" s="101" t="s">
        <v>1913</v>
      </c>
      <c r="E2386" s="183"/>
      <c r="F2386" s="99"/>
    </row>
    <row r="2387" spans="2:6" x14ac:dyDescent="0.2">
      <c r="B2387" s="101" t="s">
        <v>64</v>
      </c>
      <c r="C2387" s="30">
        <v>45</v>
      </c>
      <c r="D2387" s="101">
        <v>500</v>
      </c>
      <c r="E2387" s="183"/>
      <c r="F2387" s="99"/>
    </row>
    <row r="2388" spans="2:6" x14ac:dyDescent="0.2">
      <c r="B2388" s="101" t="s">
        <v>64</v>
      </c>
      <c r="C2388" s="30">
        <v>45</v>
      </c>
      <c r="D2388" s="101">
        <v>500</v>
      </c>
      <c r="E2388" s="183"/>
      <c r="F2388" s="99">
        <v>0.15</v>
      </c>
    </row>
    <row r="2389" spans="2:6" x14ac:dyDescent="0.2">
      <c r="B2389" s="101" t="s">
        <v>64</v>
      </c>
      <c r="C2389" s="30">
        <v>45</v>
      </c>
      <c r="D2389" s="101" t="s">
        <v>1914</v>
      </c>
      <c r="E2389" s="183"/>
      <c r="F2389" s="99">
        <v>6.58</v>
      </c>
    </row>
    <row r="2390" spans="2:6" x14ac:dyDescent="0.2">
      <c r="B2390" s="101" t="s">
        <v>64</v>
      </c>
      <c r="C2390" s="30">
        <v>45</v>
      </c>
      <c r="D2390" s="101" t="s">
        <v>2542</v>
      </c>
      <c r="E2390" s="183"/>
      <c r="F2390" s="99">
        <v>1.66</v>
      </c>
    </row>
    <row r="2391" spans="2:6" x14ac:dyDescent="0.2">
      <c r="B2391" s="101" t="s">
        <v>64</v>
      </c>
      <c r="C2391" s="30">
        <v>45</v>
      </c>
      <c r="D2391" s="101" t="s">
        <v>1652</v>
      </c>
      <c r="E2391" s="183"/>
      <c r="F2391" s="99"/>
    </row>
    <row r="2392" spans="2:6" x14ac:dyDescent="0.2">
      <c r="B2392" s="101" t="s">
        <v>64</v>
      </c>
      <c r="C2392" s="30">
        <v>45</v>
      </c>
      <c r="D2392" s="101" t="s">
        <v>1915</v>
      </c>
      <c r="E2392" s="183"/>
      <c r="F2392" s="99">
        <v>0.24</v>
      </c>
    </row>
    <row r="2393" spans="2:6" x14ac:dyDescent="0.2">
      <c r="B2393" s="101" t="s">
        <v>64</v>
      </c>
      <c r="C2393" s="30">
        <v>45</v>
      </c>
      <c r="D2393" s="101" t="s">
        <v>2546</v>
      </c>
      <c r="E2393" s="183"/>
      <c r="F2393" s="99">
        <v>0.28000000000000003</v>
      </c>
    </row>
    <row r="2394" spans="2:6" x14ac:dyDescent="0.2">
      <c r="B2394" s="101" t="s">
        <v>64</v>
      </c>
      <c r="C2394" s="30">
        <v>45</v>
      </c>
      <c r="D2394" s="101">
        <v>510</v>
      </c>
      <c r="E2394" s="183"/>
      <c r="F2394" s="99">
        <v>6.16</v>
      </c>
    </row>
    <row r="2395" spans="2:6" x14ac:dyDescent="0.2">
      <c r="B2395" s="101" t="s">
        <v>64</v>
      </c>
      <c r="C2395" s="30">
        <v>45</v>
      </c>
      <c r="D2395" s="101">
        <v>510</v>
      </c>
      <c r="E2395" s="183"/>
      <c r="F2395" s="99">
        <v>0.63</v>
      </c>
    </row>
    <row r="2396" spans="2:6" x14ac:dyDescent="0.2">
      <c r="B2396" s="101" t="s">
        <v>64</v>
      </c>
      <c r="C2396" s="30">
        <v>45</v>
      </c>
      <c r="D2396" s="101" t="s">
        <v>1927</v>
      </c>
      <c r="E2396" s="183"/>
      <c r="F2396" s="99">
        <v>0.9</v>
      </c>
    </row>
    <row r="2397" spans="2:6" x14ac:dyDescent="0.2">
      <c r="B2397" s="101" t="s">
        <v>64</v>
      </c>
      <c r="C2397" s="30">
        <v>45</v>
      </c>
      <c r="D2397" s="101" t="s">
        <v>2550</v>
      </c>
      <c r="E2397" s="183"/>
      <c r="F2397" s="99">
        <v>2.44</v>
      </c>
    </row>
    <row r="2398" spans="2:6" x14ac:dyDescent="0.2">
      <c r="B2398" s="101" t="s">
        <v>64</v>
      </c>
      <c r="C2398" s="30">
        <v>45</v>
      </c>
      <c r="D2398" s="101">
        <v>520</v>
      </c>
      <c r="E2398" s="183"/>
      <c r="F2398" s="99">
        <v>15</v>
      </c>
    </row>
    <row r="2399" spans="2:6" x14ac:dyDescent="0.2">
      <c r="B2399" s="101" t="s">
        <v>64</v>
      </c>
      <c r="C2399" s="30">
        <v>45</v>
      </c>
      <c r="D2399" s="101">
        <v>520</v>
      </c>
      <c r="E2399" s="183"/>
      <c r="F2399" s="99">
        <v>5.74</v>
      </c>
    </row>
    <row r="2400" spans="2:6" x14ac:dyDescent="0.2">
      <c r="B2400" s="101" t="s">
        <v>64</v>
      </c>
      <c r="C2400" s="30">
        <v>45</v>
      </c>
      <c r="D2400" s="101">
        <v>520</v>
      </c>
      <c r="E2400" s="183"/>
      <c r="F2400" s="99">
        <f>0.5+0.12</f>
        <v>0.62</v>
      </c>
    </row>
    <row r="2401" spans="2:6" x14ac:dyDescent="0.2">
      <c r="B2401" s="101" t="s">
        <v>64</v>
      </c>
      <c r="C2401" s="30">
        <v>45</v>
      </c>
      <c r="D2401" s="101">
        <v>530</v>
      </c>
      <c r="E2401" s="183"/>
      <c r="F2401" s="99">
        <v>1.75</v>
      </c>
    </row>
    <row r="2402" spans="2:6" x14ac:dyDescent="0.2">
      <c r="B2402" s="101" t="s">
        <v>64</v>
      </c>
      <c r="C2402" s="30">
        <v>45</v>
      </c>
      <c r="D2402" s="101">
        <v>530</v>
      </c>
      <c r="E2402" s="183"/>
      <c r="F2402" s="99">
        <v>0.09</v>
      </c>
    </row>
    <row r="2403" spans="2:6" x14ac:dyDescent="0.2">
      <c r="B2403" s="101" t="s">
        <v>64</v>
      </c>
      <c r="C2403" s="30">
        <v>45</v>
      </c>
      <c r="D2403" s="101" t="s">
        <v>1937</v>
      </c>
      <c r="E2403" s="183"/>
      <c r="F2403" s="99">
        <v>0.43</v>
      </c>
    </row>
    <row r="2404" spans="2:6" x14ac:dyDescent="0.2">
      <c r="B2404" s="101" t="s">
        <v>64</v>
      </c>
      <c r="C2404" s="30">
        <v>45</v>
      </c>
      <c r="D2404" s="101" t="s">
        <v>1942</v>
      </c>
      <c r="E2404" s="183"/>
      <c r="F2404" s="99">
        <v>0.38</v>
      </c>
    </row>
    <row r="2405" spans="2:6" x14ac:dyDescent="0.2">
      <c r="B2405" s="101" t="s">
        <v>64</v>
      </c>
      <c r="C2405" s="30">
        <v>45</v>
      </c>
      <c r="D2405" s="101" t="s">
        <v>1942</v>
      </c>
      <c r="E2405" s="183"/>
      <c r="F2405" s="99">
        <v>0.28999999999999998</v>
      </c>
    </row>
    <row r="2406" spans="2:6" x14ac:dyDescent="0.2">
      <c r="B2406" s="101" t="s">
        <v>64</v>
      </c>
      <c r="C2406" s="30">
        <v>45</v>
      </c>
      <c r="D2406" s="101">
        <v>535</v>
      </c>
      <c r="E2406" s="183"/>
      <c r="F2406" s="99">
        <v>2.72</v>
      </c>
    </row>
    <row r="2407" spans="2:6" x14ac:dyDescent="0.2">
      <c r="B2407" s="101" t="s">
        <v>64</v>
      </c>
      <c r="C2407" s="30">
        <v>45</v>
      </c>
      <c r="D2407" s="101" t="s">
        <v>2554</v>
      </c>
      <c r="E2407" s="183"/>
      <c r="F2407" s="99">
        <v>1.385</v>
      </c>
    </row>
    <row r="2408" spans="2:6" x14ac:dyDescent="0.2">
      <c r="B2408" s="101" t="s">
        <v>64</v>
      </c>
      <c r="C2408" s="30">
        <v>45</v>
      </c>
      <c r="D2408" s="101">
        <v>540</v>
      </c>
      <c r="E2408" s="183"/>
      <c r="F2408" s="99">
        <v>9.35</v>
      </c>
    </row>
    <row r="2409" spans="2:6" x14ac:dyDescent="0.2">
      <c r="B2409" s="101" t="s">
        <v>64</v>
      </c>
      <c r="C2409" s="30">
        <v>45</v>
      </c>
      <c r="D2409" s="101">
        <v>540</v>
      </c>
      <c r="E2409" s="183"/>
      <c r="F2409" s="99">
        <f>6.78+6.84+6.72</f>
        <v>20.34</v>
      </c>
    </row>
    <row r="2410" spans="2:6" x14ac:dyDescent="0.2">
      <c r="B2410" s="101" t="s">
        <v>64</v>
      </c>
      <c r="C2410" s="30">
        <v>45</v>
      </c>
      <c r="D2410" s="101">
        <v>540</v>
      </c>
      <c r="E2410" s="183"/>
      <c r="F2410" s="99">
        <v>4.09</v>
      </c>
    </row>
    <row r="2411" spans="2:6" x14ac:dyDescent="0.2">
      <c r="B2411" s="101" t="s">
        <v>64</v>
      </c>
      <c r="C2411" s="30">
        <v>45</v>
      </c>
      <c r="D2411" s="101" t="s">
        <v>1944</v>
      </c>
      <c r="E2411" s="183"/>
      <c r="F2411" s="99"/>
    </row>
    <row r="2412" spans="2:6" x14ac:dyDescent="0.2">
      <c r="B2412" s="101" t="s">
        <v>64</v>
      </c>
      <c r="C2412" s="30">
        <v>45</v>
      </c>
      <c r="D2412" s="101" t="s">
        <v>1944</v>
      </c>
      <c r="E2412" s="183"/>
      <c r="F2412" s="99">
        <v>0.435</v>
      </c>
    </row>
    <row r="2413" spans="2:6" x14ac:dyDescent="0.2">
      <c r="B2413" s="101" t="s">
        <v>64</v>
      </c>
      <c r="C2413" s="30">
        <v>45</v>
      </c>
      <c r="D2413" s="101" t="s">
        <v>1827</v>
      </c>
      <c r="E2413" s="183"/>
      <c r="F2413" s="99">
        <v>5.64</v>
      </c>
    </row>
    <row r="2414" spans="2:6" x14ac:dyDescent="0.2">
      <c r="B2414" s="101" t="s">
        <v>64</v>
      </c>
      <c r="C2414" s="30">
        <v>45</v>
      </c>
      <c r="D2414" s="101" t="s">
        <v>2558</v>
      </c>
      <c r="E2414" s="183"/>
      <c r="F2414" s="99">
        <v>0.4</v>
      </c>
    </row>
    <row r="2415" spans="2:6" x14ac:dyDescent="0.2">
      <c r="B2415" s="101" t="s">
        <v>64</v>
      </c>
      <c r="C2415" s="30">
        <v>45</v>
      </c>
      <c r="D2415" s="101">
        <v>545</v>
      </c>
      <c r="E2415" s="183"/>
      <c r="F2415" s="99">
        <v>0.4</v>
      </c>
    </row>
    <row r="2416" spans="2:6" x14ac:dyDescent="0.2">
      <c r="B2416" s="101" t="s">
        <v>64</v>
      </c>
      <c r="C2416" s="30">
        <v>45</v>
      </c>
      <c r="D2416" s="101" t="s">
        <v>1948</v>
      </c>
      <c r="E2416" s="183"/>
      <c r="F2416" s="99">
        <v>7.53</v>
      </c>
    </row>
    <row r="2417" spans="2:6" x14ac:dyDescent="0.2">
      <c r="B2417" s="101" t="s">
        <v>64</v>
      </c>
      <c r="C2417" s="30">
        <v>45</v>
      </c>
      <c r="D2417" s="101">
        <v>550</v>
      </c>
      <c r="E2417" s="183"/>
      <c r="F2417" s="99">
        <v>7.2</v>
      </c>
    </row>
    <row r="2418" spans="2:6" x14ac:dyDescent="0.2">
      <c r="B2418" s="101" t="s">
        <v>64</v>
      </c>
      <c r="C2418" s="30">
        <v>45</v>
      </c>
      <c r="D2418" s="101">
        <v>550</v>
      </c>
      <c r="E2418" s="183"/>
      <c r="F2418" s="99">
        <v>6.27</v>
      </c>
    </row>
    <row r="2419" spans="2:6" x14ac:dyDescent="0.2">
      <c r="B2419" s="101" t="s">
        <v>64</v>
      </c>
      <c r="C2419" s="30">
        <v>45</v>
      </c>
      <c r="D2419" s="101">
        <v>550</v>
      </c>
      <c r="E2419" s="183"/>
      <c r="F2419" s="99">
        <f>3.16+3.1+3.14+3.13+3-3.13-3-3.09</f>
        <v>6.3100000000000023</v>
      </c>
    </row>
    <row r="2420" spans="2:6" x14ac:dyDescent="0.2">
      <c r="B2420" s="101" t="s">
        <v>64</v>
      </c>
      <c r="C2420" s="30">
        <v>45</v>
      </c>
      <c r="D2420" s="101">
        <v>550</v>
      </c>
      <c r="E2420" s="183"/>
      <c r="F2420" s="99">
        <f>40.2+3.24-0.67</f>
        <v>42.77</v>
      </c>
    </row>
    <row r="2421" spans="2:6" x14ac:dyDescent="0.2">
      <c r="B2421" s="101" t="s">
        <v>64</v>
      </c>
      <c r="C2421" s="30">
        <v>45</v>
      </c>
      <c r="D2421" s="101">
        <v>550</v>
      </c>
      <c r="E2421" s="183"/>
      <c r="F2421" s="99">
        <v>0.43</v>
      </c>
    </row>
    <row r="2422" spans="2:6" x14ac:dyDescent="0.2">
      <c r="B2422" s="101" t="s">
        <v>64</v>
      </c>
      <c r="C2422" s="30">
        <v>45</v>
      </c>
      <c r="D2422" s="101">
        <v>550</v>
      </c>
      <c r="E2422" s="183"/>
      <c r="F2422" s="99">
        <f>0.65+0.69</f>
        <v>1.3399999999999999</v>
      </c>
    </row>
    <row r="2423" spans="2:6" x14ac:dyDescent="0.2">
      <c r="B2423" s="101" t="s">
        <v>64</v>
      </c>
      <c r="C2423" s="30">
        <v>45</v>
      </c>
      <c r="D2423" s="101">
        <v>550</v>
      </c>
      <c r="E2423" s="183"/>
      <c r="F2423" s="99">
        <f>1.63-0.54+0.15</f>
        <v>1.2399999999999998</v>
      </c>
    </row>
    <row r="2424" spans="2:6" x14ac:dyDescent="0.2">
      <c r="B2424" s="101" t="s">
        <v>64</v>
      </c>
      <c r="C2424" s="30">
        <v>45</v>
      </c>
      <c r="D2424" s="101">
        <v>550</v>
      </c>
      <c r="E2424" s="183"/>
      <c r="F2424" s="99">
        <v>0.46</v>
      </c>
    </row>
    <row r="2425" spans="2:6" x14ac:dyDescent="0.2">
      <c r="B2425" s="101" t="s">
        <v>64</v>
      </c>
      <c r="C2425" s="30">
        <v>45</v>
      </c>
      <c r="D2425" s="101" t="s">
        <v>1949</v>
      </c>
      <c r="E2425" s="183"/>
      <c r="F2425" s="99">
        <v>0.64</v>
      </c>
    </row>
    <row r="2426" spans="2:6" x14ac:dyDescent="0.2">
      <c r="B2426" s="101" t="s">
        <v>64</v>
      </c>
      <c r="C2426" s="30">
        <v>45</v>
      </c>
      <c r="D2426" s="101">
        <v>560</v>
      </c>
      <c r="E2426" s="183"/>
      <c r="F2426" s="99">
        <f>7.31</f>
        <v>7.31</v>
      </c>
    </row>
    <row r="2427" spans="2:6" x14ac:dyDescent="0.2">
      <c r="B2427" s="101" t="s">
        <v>64</v>
      </c>
      <c r="C2427" s="30">
        <v>45</v>
      </c>
      <c r="D2427" s="101">
        <v>560</v>
      </c>
      <c r="E2427" s="183"/>
      <c r="F2427" s="99">
        <v>6.81</v>
      </c>
    </row>
    <row r="2428" spans="2:6" x14ac:dyDescent="0.2">
      <c r="B2428" s="101" t="s">
        <v>64</v>
      </c>
      <c r="C2428" s="30">
        <v>45</v>
      </c>
      <c r="D2428" s="101">
        <v>570</v>
      </c>
      <c r="E2428" s="25"/>
      <c r="F2428" s="99">
        <f>6.64+0.27</f>
        <v>6.91</v>
      </c>
    </row>
    <row r="2429" spans="2:6" x14ac:dyDescent="0.2">
      <c r="B2429" s="101" t="s">
        <v>64</v>
      </c>
      <c r="C2429" s="30">
        <v>45</v>
      </c>
      <c r="D2429" s="101">
        <v>570</v>
      </c>
      <c r="E2429" s="25"/>
      <c r="F2429" s="99">
        <v>5.7</v>
      </c>
    </row>
    <row r="2430" spans="2:6" x14ac:dyDescent="0.2">
      <c r="B2430" s="101" t="s">
        <v>64</v>
      </c>
      <c r="C2430" s="30">
        <v>45</v>
      </c>
      <c r="D2430" s="101" t="s">
        <v>1967</v>
      </c>
      <c r="E2430" s="25"/>
      <c r="F2430" s="99"/>
    </row>
    <row r="2431" spans="2:6" x14ac:dyDescent="0.2">
      <c r="B2431" s="101" t="s">
        <v>64</v>
      </c>
      <c r="C2431" s="30">
        <v>45</v>
      </c>
      <c r="D2431" s="101">
        <v>570</v>
      </c>
      <c r="E2431" s="25"/>
      <c r="F2431" s="99">
        <f>0.235+0.11</f>
        <v>0.34499999999999997</v>
      </c>
    </row>
    <row r="2432" spans="2:6" x14ac:dyDescent="0.2">
      <c r="B2432" s="101" t="s">
        <v>64</v>
      </c>
      <c r="C2432" s="30">
        <v>45</v>
      </c>
      <c r="D2432" s="101" t="s">
        <v>2561</v>
      </c>
      <c r="E2432" s="25"/>
      <c r="F2432" s="99">
        <v>0.32500000000000001</v>
      </c>
    </row>
    <row r="2433" spans="2:6" x14ac:dyDescent="0.2">
      <c r="B2433" s="101" t="s">
        <v>64</v>
      </c>
      <c r="C2433" s="30">
        <v>45</v>
      </c>
      <c r="D2433" s="101" t="s">
        <v>1968</v>
      </c>
      <c r="E2433" s="25"/>
      <c r="F2433" s="99">
        <v>3.31</v>
      </c>
    </row>
    <row r="2434" spans="2:6" x14ac:dyDescent="0.2">
      <c r="B2434" s="101" t="s">
        <v>64</v>
      </c>
      <c r="C2434" s="30">
        <v>45</v>
      </c>
      <c r="D2434" s="101">
        <v>575</v>
      </c>
      <c r="E2434" s="183"/>
      <c r="F2434" s="99">
        <v>0.3</v>
      </c>
    </row>
    <row r="2435" spans="2:6" x14ac:dyDescent="0.2">
      <c r="B2435" s="101" t="s">
        <v>64</v>
      </c>
      <c r="C2435" s="30">
        <v>45</v>
      </c>
      <c r="D2435" s="101">
        <v>580</v>
      </c>
      <c r="E2435" s="25"/>
      <c r="F2435" s="99">
        <v>7.83</v>
      </c>
    </row>
    <row r="2436" spans="2:6" x14ac:dyDescent="0.2">
      <c r="B2436" s="101" t="s">
        <v>64</v>
      </c>
      <c r="C2436" s="30">
        <v>45</v>
      </c>
      <c r="D2436" s="101">
        <v>580</v>
      </c>
      <c r="E2436" s="25"/>
      <c r="F2436" s="99">
        <v>0.38</v>
      </c>
    </row>
    <row r="2437" spans="2:6" x14ac:dyDescent="0.2">
      <c r="B2437" s="101" t="s">
        <v>64</v>
      </c>
      <c r="C2437" s="30">
        <v>45</v>
      </c>
      <c r="D2437" s="101" t="s">
        <v>1971</v>
      </c>
      <c r="E2437" s="25"/>
      <c r="F2437" s="99"/>
    </row>
    <row r="2438" spans="2:6" x14ac:dyDescent="0.2">
      <c r="B2438" s="101" t="s">
        <v>64</v>
      </c>
      <c r="C2438" s="30">
        <v>45</v>
      </c>
      <c r="D2438" s="101">
        <v>590</v>
      </c>
      <c r="E2438" s="183"/>
      <c r="F2438" s="99">
        <v>6.47</v>
      </c>
    </row>
    <row r="2439" spans="2:6" x14ac:dyDescent="0.2">
      <c r="B2439" s="101" t="s">
        <v>64</v>
      </c>
      <c r="C2439" s="30">
        <v>45</v>
      </c>
      <c r="D2439" s="101">
        <v>600</v>
      </c>
      <c r="E2439" s="183"/>
      <c r="F2439" s="99">
        <f>8.14+8.04+8.2</f>
        <v>24.38</v>
      </c>
    </row>
    <row r="2440" spans="2:6" x14ac:dyDescent="0.2">
      <c r="B2440" s="101" t="s">
        <v>64</v>
      </c>
      <c r="C2440" s="30">
        <v>45</v>
      </c>
      <c r="D2440" s="101">
        <v>600</v>
      </c>
      <c r="E2440" s="183"/>
      <c r="F2440" s="99">
        <f>8.36+6.64+6.1</f>
        <v>21.1</v>
      </c>
    </row>
    <row r="2441" spans="2:6" x14ac:dyDescent="0.2">
      <c r="B2441" s="101" t="s">
        <v>64</v>
      </c>
      <c r="C2441" s="30">
        <v>45</v>
      </c>
      <c r="D2441" s="101">
        <v>600</v>
      </c>
      <c r="E2441" s="183"/>
      <c r="F2441" s="99">
        <f>4.66+6.61</f>
        <v>11.27</v>
      </c>
    </row>
    <row r="2442" spans="2:6" x14ac:dyDescent="0.2">
      <c r="B2442" s="101" t="s">
        <v>64</v>
      </c>
      <c r="C2442" s="30">
        <v>45</v>
      </c>
      <c r="D2442" s="101">
        <v>600</v>
      </c>
      <c r="E2442" s="183"/>
      <c r="F2442" s="99">
        <v>1.45</v>
      </c>
    </row>
    <row r="2443" spans="2:6" x14ac:dyDescent="0.2">
      <c r="B2443" s="101" t="s">
        <v>64</v>
      </c>
      <c r="C2443" s="30">
        <v>45</v>
      </c>
      <c r="D2443" s="101">
        <v>600</v>
      </c>
      <c r="E2443" s="183"/>
      <c r="F2443" s="99">
        <v>0.77</v>
      </c>
    </row>
    <row r="2444" spans="2:6" x14ac:dyDescent="0.2">
      <c r="B2444" s="101" t="s">
        <v>64</v>
      </c>
      <c r="C2444" s="30">
        <v>45</v>
      </c>
      <c r="D2444" s="101">
        <v>600</v>
      </c>
      <c r="E2444" s="183"/>
      <c r="F2444" s="99">
        <f>0.45+0.38+0.68</f>
        <v>1.5100000000000002</v>
      </c>
    </row>
    <row r="2445" spans="2:6" x14ac:dyDescent="0.2">
      <c r="B2445" s="101" t="s">
        <v>64</v>
      </c>
      <c r="C2445" s="30">
        <v>45</v>
      </c>
      <c r="D2445" s="101" t="s">
        <v>1986</v>
      </c>
      <c r="E2445" s="183"/>
      <c r="F2445" s="99">
        <v>0.36</v>
      </c>
    </row>
    <row r="2446" spans="2:6" x14ac:dyDescent="0.2">
      <c r="B2446" s="101" t="s">
        <v>64</v>
      </c>
      <c r="C2446" s="30">
        <v>45</v>
      </c>
      <c r="D2446" s="101" t="s">
        <v>1987</v>
      </c>
      <c r="E2446" s="183"/>
      <c r="F2446" s="99">
        <v>0.505</v>
      </c>
    </row>
    <row r="2447" spans="2:6" x14ac:dyDescent="0.2">
      <c r="B2447" s="101" t="s">
        <v>64</v>
      </c>
      <c r="C2447" s="30">
        <v>45</v>
      </c>
      <c r="D2447" s="101" t="s">
        <v>1988</v>
      </c>
      <c r="E2447" s="183"/>
      <c r="F2447" s="99">
        <v>3.32</v>
      </c>
    </row>
    <row r="2448" spans="2:6" x14ac:dyDescent="0.2">
      <c r="B2448" s="101" t="s">
        <v>64</v>
      </c>
      <c r="C2448" s="30">
        <v>45</v>
      </c>
      <c r="D2448" s="101" t="s">
        <v>1989</v>
      </c>
      <c r="E2448" s="183"/>
      <c r="F2448" s="99"/>
    </row>
    <row r="2449" spans="2:6" x14ac:dyDescent="0.2">
      <c r="B2449" s="101" t="s">
        <v>64</v>
      </c>
      <c r="C2449" s="30">
        <v>45</v>
      </c>
      <c r="D2449" s="101" t="s">
        <v>1990</v>
      </c>
      <c r="E2449" s="183"/>
      <c r="F2449" s="99">
        <v>1.28</v>
      </c>
    </row>
    <row r="2450" spans="2:6" x14ac:dyDescent="0.2">
      <c r="B2450" s="101" t="s">
        <v>64</v>
      </c>
      <c r="C2450" s="30">
        <v>45</v>
      </c>
      <c r="D2450" s="101" t="s">
        <v>1991</v>
      </c>
      <c r="E2450" s="183"/>
      <c r="F2450" s="99">
        <v>2.64</v>
      </c>
    </row>
    <row r="2451" spans="2:6" x14ac:dyDescent="0.2">
      <c r="B2451" s="101" t="s">
        <v>64</v>
      </c>
      <c r="C2451" s="30">
        <v>45</v>
      </c>
      <c r="D2451" s="101" t="s">
        <v>1991</v>
      </c>
      <c r="E2451" s="183"/>
      <c r="F2451" s="99">
        <v>0.62</v>
      </c>
    </row>
    <row r="2452" spans="2:6" x14ac:dyDescent="0.2">
      <c r="B2452" s="101" t="s">
        <v>64</v>
      </c>
      <c r="C2452" s="30">
        <v>45</v>
      </c>
      <c r="D2452" s="101" t="s">
        <v>1992</v>
      </c>
      <c r="E2452" s="183"/>
      <c r="F2452" s="99">
        <f>0.31</f>
        <v>0.31</v>
      </c>
    </row>
    <row r="2453" spans="2:6" x14ac:dyDescent="0.2">
      <c r="B2453" s="101" t="s">
        <v>64</v>
      </c>
      <c r="C2453" s="30">
        <v>45</v>
      </c>
      <c r="D2453" s="101" t="s">
        <v>1993</v>
      </c>
      <c r="E2453" s="183"/>
      <c r="F2453" s="99">
        <v>3.31</v>
      </c>
    </row>
    <row r="2454" spans="2:6" x14ac:dyDescent="0.2">
      <c r="B2454" s="101" t="s">
        <v>64</v>
      </c>
      <c r="C2454" s="30">
        <v>45</v>
      </c>
      <c r="D2454" s="101">
        <v>610</v>
      </c>
      <c r="E2454" s="183"/>
      <c r="F2454" s="99">
        <v>8.17</v>
      </c>
    </row>
    <row r="2455" spans="2:6" x14ac:dyDescent="0.2">
      <c r="B2455" s="101" t="s">
        <v>64</v>
      </c>
      <c r="C2455" s="30">
        <v>45</v>
      </c>
      <c r="D2455" s="101" t="s">
        <v>2002</v>
      </c>
      <c r="E2455" s="183"/>
      <c r="F2455" s="99">
        <v>0.35</v>
      </c>
    </row>
    <row r="2456" spans="2:6" x14ac:dyDescent="0.2">
      <c r="B2456" s="101" t="s">
        <v>64</v>
      </c>
      <c r="C2456" s="30">
        <v>45</v>
      </c>
      <c r="D2456" s="101">
        <v>620</v>
      </c>
      <c r="E2456" s="183"/>
      <c r="F2456" s="99">
        <f>8.06+8.14</f>
        <v>16.200000000000003</v>
      </c>
    </row>
    <row r="2457" spans="2:6" x14ac:dyDescent="0.2">
      <c r="B2457" s="101" t="s">
        <v>64</v>
      </c>
      <c r="C2457" s="30">
        <v>45</v>
      </c>
      <c r="D2457" s="101">
        <v>620</v>
      </c>
      <c r="E2457" s="183"/>
      <c r="F2457" s="99">
        <v>6.5</v>
      </c>
    </row>
    <row r="2458" spans="2:6" x14ac:dyDescent="0.2">
      <c r="B2458" s="101" t="s">
        <v>64</v>
      </c>
      <c r="C2458" s="30">
        <v>45</v>
      </c>
      <c r="D2458" s="101">
        <v>620</v>
      </c>
      <c r="E2458" s="183"/>
      <c r="F2458" s="99">
        <v>0.24</v>
      </c>
    </row>
    <row r="2459" spans="2:6" x14ac:dyDescent="0.2">
      <c r="B2459" s="101" t="s">
        <v>64</v>
      </c>
      <c r="C2459" s="30">
        <v>45</v>
      </c>
      <c r="D2459" s="101" t="s">
        <v>2011</v>
      </c>
      <c r="E2459" s="183"/>
      <c r="F2459" s="99">
        <v>0.43</v>
      </c>
    </row>
    <row r="2460" spans="2:6" x14ac:dyDescent="0.2">
      <c r="B2460" s="101" t="s">
        <v>64</v>
      </c>
      <c r="C2460" s="30">
        <v>45</v>
      </c>
      <c r="D2460" s="101">
        <v>640</v>
      </c>
      <c r="E2460" s="25"/>
      <c r="F2460" s="99">
        <v>7.33</v>
      </c>
    </row>
    <row r="2461" spans="2:6" x14ac:dyDescent="0.2">
      <c r="B2461" s="101" t="s">
        <v>64</v>
      </c>
      <c r="C2461" s="30">
        <v>45</v>
      </c>
      <c r="D2461" s="101">
        <v>640</v>
      </c>
      <c r="E2461" s="25"/>
      <c r="F2461" s="99">
        <v>6.79</v>
      </c>
    </row>
    <row r="2462" spans="2:6" x14ac:dyDescent="0.2">
      <c r="B2462" s="101" t="s">
        <v>64</v>
      </c>
      <c r="C2462" s="30">
        <v>45</v>
      </c>
      <c r="D2462" s="101">
        <v>640</v>
      </c>
      <c r="E2462" s="25"/>
      <c r="F2462" s="99">
        <f>2.94-0.49+0.585</f>
        <v>3.0350000000000001</v>
      </c>
    </row>
    <row r="2463" spans="2:6" x14ac:dyDescent="0.2">
      <c r="B2463" s="101" t="s">
        <v>64</v>
      </c>
      <c r="C2463" s="30">
        <v>45</v>
      </c>
      <c r="D2463" s="101">
        <v>650</v>
      </c>
      <c r="E2463" s="183"/>
      <c r="F2463" s="99">
        <f>8.33</f>
        <v>8.33</v>
      </c>
    </row>
    <row r="2464" spans="2:6" x14ac:dyDescent="0.2">
      <c r="B2464" s="101" t="s">
        <v>64</v>
      </c>
      <c r="C2464" s="30">
        <v>45</v>
      </c>
      <c r="D2464" s="101">
        <v>650</v>
      </c>
      <c r="E2464" s="183"/>
      <c r="F2464" s="99">
        <f>8.05</f>
        <v>8.0500000000000007</v>
      </c>
    </row>
    <row r="2465" spans="2:6" x14ac:dyDescent="0.2">
      <c r="B2465" s="101" t="s">
        <v>64</v>
      </c>
      <c r="C2465" s="30">
        <v>45</v>
      </c>
      <c r="D2465" s="101">
        <v>650</v>
      </c>
      <c r="E2465" s="183"/>
      <c r="F2465" s="99">
        <v>0.71</v>
      </c>
    </row>
    <row r="2466" spans="2:6" x14ac:dyDescent="0.2">
      <c r="B2466" s="101" t="s">
        <v>64</v>
      </c>
      <c r="C2466" s="30">
        <v>45</v>
      </c>
      <c r="D2466" s="101" t="s">
        <v>2028</v>
      </c>
      <c r="E2466" s="183"/>
      <c r="F2466" s="99">
        <v>0.68</v>
      </c>
    </row>
    <row r="2467" spans="2:6" x14ac:dyDescent="0.2">
      <c r="B2467" s="101" t="s">
        <v>64</v>
      </c>
      <c r="C2467" s="30">
        <v>45</v>
      </c>
      <c r="D2467" s="101" t="s">
        <v>2029</v>
      </c>
      <c r="E2467" s="183"/>
      <c r="F2467" s="99">
        <v>0.39</v>
      </c>
    </row>
    <row r="2468" spans="2:6" x14ac:dyDescent="0.2">
      <c r="B2468" s="101" t="s">
        <v>64</v>
      </c>
      <c r="C2468" s="30">
        <v>45</v>
      </c>
      <c r="D2468" s="101" t="s">
        <v>2577</v>
      </c>
      <c r="E2468" s="183"/>
      <c r="F2468" s="99">
        <v>0.71</v>
      </c>
    </row>
    <row r="2469" spans="2:6" x14ac:dyDescent="0.2">
      <c r="B2469" s="101" t="s">
        <v>64</v>
      </c>
      <c r="C2469" s="30">
        <v>45</v>
      </c>
      <c r="D2469" s="101" t="s">
        <v>2037</v>
      </c>
      <c r="E2469" s="183"/>
      <c r="F2469" s="99">
        <v>0.76</v>
      </c>
    </row>
    <row r="2470" spans="2:6" x14ac:dyDescent="0.2">
      <c r="B2470" s="101" t="s">
        <v>64</v>
      </c>
      <c r="C2470" s="30">
        <v>45</v>
      </c>
      <c r="D2470" s="101" t="s">
        <v>2038</v>
      </c>
      <c r="E2470" s="183"/>
      <c r="F2470" s="99">
        <v>0.9</v>
      </c>
    </row>
    <row r="2471" spans="2:6" x14ac:dyDescent="0.2">
      <c r="B2471" s="101" t="s">
        <v>64</v>
      </c>
      <c r="C2471" s="30">
        <v>45</v>
      </c>
      <c r="D2471" s="101">
        <v>660</v>
      </c>
      <c r="E2471" s="183"/>
      <c r="F2471" s="99">
        <v>0.37</v>
      </c>
    </row>
    <row r="2472" spans="2:6" x14ac:dyDescent="0.2">
      <c r="B2472" s="101" t="s">
        <v>64</v>
      </c>
      <c r="C2472" s="30">
        <v>45</v>
      </c>
      <c r="D2472" s="101">
        <v>660</v>
      </c>
      <c r="E2472" s="183"/>
      <c r="F2472" s="99">
        <v>0.11</v>
      </c>
    </row>
    <row r="2473" spans="2:6" x14ac:dyDescent="0.2">
      <c r="B2473" s="101" t="s">
        <v>64</v>
      </c>
      <c r="C2473" s="30">
        <v>45</v>
      </c>
      <c r="D2473" s="101" t="s">
        <v>2039</v>
      </c>
      <c r="E2473" s="183"/>
      <c r="F2473" s="99">
        <f>2.88-2.12</f>
        <v>0.75999999999999979</v>
      </c>
    </row>
    <row r="2474" spans="2:6" x14ac:dyDescent="0.2">
      <c r="B2474" s="101" t="s">
        <v>64</v>
      </c>
      <c r="C2474" s="30">
        <v>45</v>
      </c>
      <c r="D2474" s="101" t="s">
        <v>2578</v>
      </c>
      <c r="E2474" s="183"/>
      <c r="F2474" s="99">
        <v>0.85</v>
      </c>
    </row>
    <row r="2475" spans="2:6" x14ac:dyDescent="0.2">
      <c r="B2475" s="101" t="s">
        <v>64</v>
      </c>
      <c r="C2475" s="30">
        <v>45</v>
      </c>
      <c r="D2475" s="101" t="s">
        <v>2046</v>
      </c>
      <c r="E2475" s="183"/>
      <c r="F2475" s="99">
        <v>0.2</v>
      </c>
    </row>
    <row r="2476" spans="2:6" x14ac:dyDescent="0.2">
      <c r="B2476" s="101" t="s">
        <v>64</v>
      </c>
      <c r="C2476" s="30">
        <v>45</v>
      </c>
      <c r="D2476" s="101">
        <v>670</v>
      </c>
      <c r="E2476" s="183"/>
      <c r="F2476" s="99">
        <v>12.5</v>
      </c>
    </row>
    <row r="2477" spans="2:6" x14ac:dyDescent="0.2">
      <c r="B2477" s="101" t="s">
        <v>64</v>
      </c>
      <c r="C2477" s="30">
        <v>45</v>
      </c>
      <c r="D2477" s="101">
        <v>670</v>
      </c>
      <c r="E2477" s="183"/>
      <c r="F2477" s="99">
        <v>0.86</v>
      </c>
    </row>
    <row r="2478" spans="2:6" x14ac:dyDescent="0.2">
      <c r="B2478" s="101" t="s">
        <v>64</v>
      </c>
      <c r="C2478" s="30">
        <v>45</v>
      </c>
      <c r="D2478" s="101">
        <v>670</v>
      </c>
      <c r="E2478" s="183"/>
      <c r="F2478" s="99">
        <v>0.8</v>
      </c>
    </row>
    <row r="2479" spans="2:6" x14ac:dyDescent="0.2">
      <c r="B2479" s="101" t="s">
        <v>64</v>
      </c>
      <c r="C2479" s="30">
        <v>45</v>
      </c>
      <c r="D2479" s="101" t="s">
        <v>2048</v>
      </c>
      <c r="E2479" s="183"/>
      <c r="F2479" s="99">
        <v>0.71</v>
      </c>
    </row>
    <row r="2480" spans="2:6" x14ac:dyDescent="0.2">
      <c r="B2480" s="101" t="s">
        <v>64</v>
      </c>
      <c r="C2480" s="30">
        <v>45</v>
      </c>
      <c r="D2480" s="101">
        <v>670</v>
      </c>
      <c r="E2480" s="183"/>
      <c r="F2480" s="99">
        <v>0.44</v>
      </c>
    </row>
    <row r="2481" spans="2:6" x14ac:dyDescent="0.2">
      <c r="B2481" s="101" t="s">
        <v>64</v>
      </c>
      <c r="C2481" s="30">
        <v>45</v>
      </c>
      <c r="D2481" s="101">
        <v>680</v>
      </c>
      <c r="E2481" s="183"/>
      <c r="F2481" s="99">
        <v>6.95</v>
      </c>
    </row>
    <row r="2482" spans="2:6" x14ac:dyDescent="0.2">
      <c r="B2482" s="101" t="s">
        <v>64</v>
      </c>
      <c r="C2482" s="30">
        <v>45</v>
      </c>
      <c r="D2482" s="101">
        <v>680</v>
      </c>
      <c r="E2482" s="183"/>
      <c r="F2482" s="99">
        <v>1.65</v>
      </c>
    </row>
    <row r="2483" spans="2:6" x14ac:dyDescent="0.2">
      <c r="B2483" s="101" t="s">
        <v>64</v>
      </c>
      <c r="C2483" s="30">
        <v>45</v>
      </c>
      <c r="D2483" s="101">
        <v>680</v>
      </c>
      <c r="E2483" s="183"/>
      <c r="F2483" s="99">
        <f>1.46+1.39</f>
        <v>2.8499999999999996</v>
      </c>
    </row>
    <row r="2484" spans="2:6" x14ac:dyDescent="0.2">
      <c r="B2484" s="101" t="s">
        <v>64</v>
      </c>
      <c r="C2484" s="30">
        <v>45</v>
      </c>
      <c r="D2484" s="101">
        <v>680</v>
      </c>
      <c r="E2484" s="183"/>
      <c r="F2484" s="99">
        <v>1.55</v>
      </c>
    </row>
    <row r="2485" spans="2:6" x14ac:dyDescent="0.2">
      <c r="B2485" s="101" t="s">
        <v>64</v>
      </c>
      <c r="C2485" s="30">
        <v>45</v>
      </c>
      <c r="D2485" s="101">
        <v>680</v>
      </c>
      <c r="E2485" s="183"/>
      <c r="F2485" s="99">
        <v>0.46</v>
      </c>
    </row>
    <row r="2486" spans="2:6" x14ac:dyDescent="0.2">
      <c r="B2486" s="101" t="s">
        <v>64</v>
      </c>
      <c r="C2486" s="30">
        <v>45</v>
      </c>
      <c r="D2486" s="101" t="s">
        <v>2052</v>
      </c>
      <c r="E2486" s="183"/>
      <c r="F2486" s="99"/>
    </row>
    <row r="2487" spans="2:6" x14ac:dyDescent="0.2">
      <c r="B2487" s="101" t="s">
        <v>64</v>
      </c>
      <c r="C2487" s="30">
        <v>45</v>
      </c>
      <c r="D2487" s="101">
        <v>690</v>
      </c>
      <c r="E2487" s="183"/>
      <c r="F2487" s="99">
        <v>0.53</v>
      </c>
    </row>
    <row r="2488" spans="2:6" x14ac:dyDescent="0.2">
      <c r="B2488" s="101" t="s">
        <v>64</v>
      </c>
      <c r="C2488" s="30">
        <v>45</v>
      </c>
      <c r="D2488" s="101">
        <v>690</v>
      </c>
      <c r="E2488" s="183"/>
      <c r="F2488" s="99"/>
    </row>
    <row r="2489" spans="2:6" x14ac:dyDescent="0.2">
      <c r="B2489" s="101" t="s">
        <v>64</v>
      </c>
      <c r="C2489" s="30">
        <v>45</v>
      </c>
      <c r="D2489" s="101" t="s">
        <v>2059</v>
      </c>
      <c r="E2489" s="183"/>
      <c r="F2489" s="99">
        <v>0.49</v>
      </c>
    </row>
    <row r="2490" spans="2:6" x14ac:dyDescent="0.2">
      <c r="B2490" s="101" t="s">
        <v>64</v>
      </c>
      <c r="C2490" s="30">
        <v>45</v>
      </c>
      <c r="D2490" s="101">
        <v>700</v>
      </c>
      <c r="E2490" s="183"/>
      <c r="F2490" s="99">
        <v>13</v>
      </c>
    </row>
    <row r="2491" spans="2:6" x14ac:dyDescent="0.2">
      <c r="B2491" s="101" t="s">
        <v>64</v>
      </c>
      <c r="C2491" s="30">
        <v>45</v>
      </c>
      <c r="D2491" s="101">
        <v>700</v>
      </c>
      <c r="E2491" s="183"/>
      <c r="F2491" s="99">
        <v>0.4</v>
      </c>
    </row>
    <row r="2492" spans="2:6" x14ac:dyDescent="0.2">
      <c r="B2492" s="101" t="s">
        <v>64</v>
      </c>
      <c r="C2492" s="30">
        <v>45</v>
      </c>
      <c r="D2492" s="101" t="s">
        <v>2064</v>
      </c>
      <c r="E2492" s="183"/>
      <c r="F2492" s="99"/>
    </row>
    <row r="2493" spans="2:6" x14ac:dyDescent="0.2">
      <c r="B2493" s="101" t="s">
        <v>64</v>
      </c>
      <c r="C2493" s="30">
        <v>45</v>
      </c>
      <c r="D2493" s="101">
        <v>700</v>
      </c>
      <c r="E2493" s="183"/>
      <c r="F2493" s="99">
        <v>0.56999999999999995</v>
      </c>
    </row>
    <row r="2494" spans="2:6" x14ac:dyDescent="0.2">
      <c r="B2494" s="101" t="s">
        <v>64</v>
      </c>
      <c r="C2494" s="30">
        <v>45</v>
      </c>
      <c r="D2494" s="101" t="s">
        <v>2065</v>
      </c>
      <c r="E2494" s="183"/>
      <c r="F2494" s="99">
        <v>0.55000000000000004</v>
      </c>
    </row>
    <row r="2495" spans="2:6" x14ac:dyDescent="0.2">
      <c r="B2495" s="101" t="s">
        <v>64</v>
      </c>
      <c r="C2495" s="30">
        <v>45</v>
      </c>
      <c r="D2495" s="101" t="s">
        <v>2066</v>
      </c>
      <c r="E2495" s="183"/>
      <c r="F2495" s="99">
        <v>0.56000000000000005</v>
      </c>
    </row>
    <row r="2496" spans="2:6" x14ac:dyDescent="0.2">
      <c r="B2496" s="101" t="s">
        <v>64</v>
      </c>
      <c r="C2496" s="30">
        <v>45</v>
      </c>
      <c r="D2496" s="101">
        <v>710</v>
      </c>
      <c r="E2496" s="183"/>
      <c r="F2496" s="99">
        <v>0.51</v>
      </c>
    </row>
    <row r="2497" spans="2:6" x14ac:dyDescent="0.2">
      <c r="B2497" s="101" t="s">
        <v>64</v>
      </c>
      <c r="C2497" s="30">
        <v>45</v>
      </c>
      <c r="D2497" s="101">
        <v>710</v>
      </c>
      <c r="E2497" s="25"/>
      <c r="F2497" s="99">
        <v>0.5</v>
      </c>
    </row>
    <row r="2498" spans="2:6" x14ac:dyDescent="0.2">
      <c r="B2498" s="101" t="s">
        <v>64</v>
      </c>
      <c r="C2498" s="30">
        <v>45</v>
      </c>
      <c r="D2498" s="101">
        <v>720</v>
      </c>
      <c r="E2498" s="183"/>
      <c r="F2498" s="99">
        <v>13</v>
      </c>
    </row>
    <row r="2499" spans="2:6" x14ac:dyDescent="0.2">
      <c r="B2499" s="101" t="s">
        <v>64</v>
      </c>
      <c r="C2499" s="30">
        <v>45</v>
      </c>
      <c r="D2499" s="101">
        <v>720</v>
      </c>
      <c r="E2499" s="183"/>
      <c r="F2499" s="99">
        <v>2.86</v>
      </c>
    </row>
    <row r="2500" spans="2:6" x14ac:dyDescent="0.2">
      <c r="B2500" s="101" t="s">
        <v>64</v>
      </c>
      <c r="C2500" s="30">
        <v>45</v>
      </c>
      <c r="D2500" s="101">
        <v>720</v>
      </c>
      <c r="E2500" s="183"/>
      <c r="F2500" s="99">
        <v>0.93</v>
      </c>
    </row>
    <row r="2501" spans="2:6" x14ac:dyDescent="0.2">
      <c r="B2501" s="101" t="s">
        <v>64</v>
      </c>
      <c r="C2501" s="30">
        <v>45</v>
      </c>
      <c r="D2501" s="101">
        <v>720</v>
      </c>
      <c r="E2501" s="183"/>
      <c r="F2501" s="99">
        <v>0.97</v>
      </c>
    </row>
    <row r="2502" spans="2:6" x14ac:dyDescent="0.2">
      <c r="B2502" s="101" t="s">
        <v>64</v>
      </c>
      <c r="C2502" s="30">
        <v>45</v>
      </c>
      <c r="D2502" s="101" t="s">
        <v>2086</v>
      </c>
      <c r="E2502" s="183"/>
      <c r="F2502" s="99">
        <v>0.56999999999999995</v>
      </c>
    </row>
    <row r="2503" spans="2:6" x14ac:dyDescent="0.2">
      <c r="B2503" s="101" t="s">
        <v>64</v>
      </c>
      <c r="C2503" s="30">
        <v>45</v>
      </c>
      <c r="D2503" s="101">
        <v>730</v>
      </c>
      <c r="E2503" s="183"/>
      <c r="F2503" s="99">
        <v>4.0999999999999996</v>
      </c>
    </row>
    <row r="2504" spans="2:6" x14ac:dyDescent="0.2">
      <c r="B2504" s="101" t="s">
        <v>64</v>
      </c>
      <c r="C2504" s="30">
        <v>45</v>
      </c>
      <c r="D2504" s="101">
        <v>730</v>
      </c>
      <c r="E2504" s="183"/>
      <c r="F2504" s="99">
        <f>1.06+0.25</f>
        <v>1.31</v>
      </c>
    </row>
    <row r="2505" spans="2:6" x14ac:dyDescent="0.2">
      <c r="B2505" s="101" t="s">
        <v>64</v>
      </c>
      <c r="C2505" s="30">
        <v>45</v>
      </c>
      <c r="D2505" s="101">
        <v>730</v>
      </c>
      <c r="E2505" s="183"/>
      <c r="F2505" s="99">
        <f>0.85-0.43</f>
        <v>0.42</v>
      </c>
    </row>
    <row r="2506" spans="2:6" x14ac:dyDescent="0.2">
      <c r="B2506" s="101" t="s">
        <v>64</v>
      </c>
      <c r="C2506" s="30">
        <v>45</v>
      </c>
      <c r="D2506" s="101">
        <v>740</v>
      </c>
      <c r="E2506" s="183"/>
      <c r="F2506" s="99">
        <v>8.83</v>
      </c>
    </row>
    <row r="2507" spans="2:6" x14ac:dyDescent="0.2">
      <c r="B2507" s="101" t="s">
        <v>64</v>
      </c>
      <c r="C2507" s="30">
        <v>45</v>
      </c>
      <c r="D2507" s="101" t="s">
        <v>2088</v>
      </c>
      <c r="E2507" s="183"/>
      <c r="F2507" s="99">
        <v>10.8</v>
      </c>
    </row>
    <row r="2508" spans="2:6" x14ac:dyDescent="0.2">
      <c r="B2508" s="101" t="s">
        <v>64</v>
      </c>
      <c r="C2508" s="30">
        <v>45</v>
      </c>
      <c r="D2508" s="101" t="s">
        <v>2088</v>
      </c>
      <c r="E2508" s="183"/>
      <c r="F2508" s="99">
        <v>5.03</v>
      </c>
    </row>
    <row r="2509" spans="2:6" x14ac:dyDescent="0.2">
      <c r="B2509" s="101" t="s">
        <v>64</v>
      </c>
      <c r="C2509" s="30">
        <v>45</v>
      </c>
      <c r="D2509" s="101">
        <v>740</v>
      </c>
      <c r="E2509" s="183"/>
      <c r="F2509" s="99">
        <v>0.83</v>
      </c>
    </row>
    <row r="2510" spans="2:6" x14ac:dyDescent="0.2">
      <c r="B2510" s="101" t="s">
        <v>64</v>
      </c>
      <c r="C2510" s="30">
        <v>45</v>
      </c>
      <c r="D2510" s="101" t="s">
        <v>2089</v>
      </c>
      <c r="E2510" s="183"/>
      <c r="F2510" s="99">
        <v>0.41</v>
      </c>
    </row>
    <row r="2511" spans="2:6" x14ac:dyDescent="0.2">
      <c r="B2511" s="101" t="s">
        <v>64</v>
      </c>
      <c r="C2511" s="30">
        <v>45</v>
      </c>
      <c r="D2511" s="101" t="s">
        <v>2585</v>
      </c>
      <c r="E2511" s="25"/>
      <c r="F2511" s="99">
        <v>0.49</v>
      </c>
    </row>
    <row r="2512" spans="2:6" x14ac:dyDescent="0.2">
      <c r="B2512" s="101" t="s">
        <v>64</v>
      </c>
      <c r="C2512" s="30">
        <v>45</v>
      </c>
      <c r="D2512" s="101" t="s">
        <v>2094</v>
      </c>
      <c r="E2512" s="25"/>
      <c r="F2512" s="99">
        <v>0.77</v>
      </c>
    </row>
    <row r="2513" spans="2:6" x14ac:dyDescent="0.2">
      <c r="B2513" s="101" t="s">
        <v>64</v>
      </c>
      <c r="C2513" s="30">
        <v>45</v>
      </c>
      <c r="D2513" s="101">
        <v>750</v>
      </c>
      <c r="E2513" s="25"/>
      <c r="F2513" s="99">
        <v>3.19</v>
      </c>
    </row>
    <row r="2514" spans="2:6" x14ac:dyDescent="0.2">
      <c r="B2514" s="101" t="s">
        <v>64</v>
      </c>
      <c r="C2514" s="30">
        <v>45</v>
      </c>
      <c r="D2514" s="101">
        <v>750</v>
      </c>
      <c r="E2514" s="25"/>
      <c r="F2514" s="99">
        <v>0.3</v>
      </c>
    </row>
    <row r="2515" spans="2:6" x14ac:dyDescent="0.2">
      <c r="B2515" s="101" t="s">
        <v>64</v>
      </c>
      <c r="C2515" s="30">
        <v>45</v>
      </c>
      <c r="D2515" s="101" t="s">
        <v>2097</v>
      </c>
      <c r="E2515" s="25"/>
      <c r="F2515" s="99">
        <v>0.77</v>
      </c>
    </row>
    <row r="2516" spans="2:6" x14ac:dyDescent="0.2">
      <c r="B2516" s="101" t="s">
        <v>64</v>
      </c>
      <c r="C2516" s="30">
        <v>45</v>
      </c>
      <c r="D2516" s="101" t="s">
        <v>2098</v>
      </c>
      <c r="E2516" s="25"/>
      <c r="F2516" s="99">
        <v>0.86</v>
      </c>
    </row>
    <row r="2517" spans="2:6" x14ac:dyDescent="0.2">
      <c r="B2517" s="101" t="s">
        <v>64</v>
      </c>
      <c r="C2517" s="30">
        <v>45</v>
      </c>
      <c r="D2517" s="101">
        <v>760</v>
      </c>
      <c r="E2517" s="183"/>
      <c r="F2517" s="99">
        <f>7.75+2.78</f>
        <v>10.53</v>
      </c>
    </row>
    <row r="2518" spans="2:6" x14ac:dyDescent="0.2">
      <c r="B2518" s="101" t="s">
        <v>64</v>
      </c>
      <c r="C2518" s="30">
        <v>45</v>
      </c>
      <c r="D2518" s="101" t="s">
        <v>2105</v>
      </c>
      <c r="E2518" s="183"/>
      <c r="F2518" s="99">
        <v>7.65</v>
      </c>
    </row>
    <row r="2519" spans="2:6" x14ac:dyDescent="0.2">
      <c r="B2519" s="101" t="s">
        <v>64</v>
      </c>
      <c r="C2519" s="30">
        <v>45</v>
      </c>
      <c r="D2519" s="101" t="s">
        <v>2106</v>
      </c>
      <c r="E2519" s="183"/>
      <c r="F2519" s="99"/>
    </row>
    <row r="2520" spans="2:6" x14ac:dyDescent="0.2">
      <c r="B2520" s="101" t="s">
        <v>64</v>
      </c>
      <c r="C2520" s="30">
        <v>45</v>
      </c>
      <c r="D2520" s="101" t="s">
        <v>2107</v>
      </c>
      <c r="E2520" s="183"/>
      <c r="F2520" s="99">
        <v>0.6</v>
      </c>
    </row>
    <row r="2521" spans="2:6" x14ac:dyDescent="0.2">
      <c r="B2521" s="101" t="s">
        <v>64</v>
      </c>
      <c r="C2521" s="30">
        <v>45</v>
      </c>
      <c r="D2521" s="101" t="s">
        <v>2115</v>
      </c>
      <c r="E2521" s="183"/>
      <c r="F2521" s="99">
        <v>0.65500000000000003</v>
      </c>
    </row>
    <row r="2522" spans="2:6" x14ac:dyDescent="0.2">
      <c r="B2522" s="101" t="s">
        <v>64</v>
      </c>
      <c r="C2522" s="30">
        <v>45</v>
      </c>
      <c r="D2522" s="101">
        <v>770</v>
      </c>
      <c r="E2522" s="183"/>
      <c r="F2522" s="99">
        <v>0.69</v>
      </c>
    </row>
    <row r="2523" spans="2:6" x14ac:dyDescent="0.2">
      <c r="B2523" s="101" t="s">
        <v>64</v>
      </c>
      <c r="C2523" s="30">
        <v>45</v>
      </c>
      <c r="D2523" s="101" t="s">
        <v>2116</v>
      </c>
      <c r="E2523" s="183"/>
      <c r="F2523" s="99">
        <v>1</v>
      </c>
    </row>
    <row r="2524" spans="2:6" x14ac:dyDescent="0.2">
      <c r="B2524" s="101" t="s">
        <v>64</v>
      </c>
      <c r="C2524" s="30">
        <v>45</v>
      </c>
      <c r="D2524" s="101">
        <v>780</v>
      </c>
      <c r="E2524" s="183"/>
      <c r="F2524" s="99">
        <f>6.37+6.21</f>
        <v>12.58</v>
      </c>
    </row>
    <row r="2525" spans="2:6" x14ac:dyDescent="0.2">
      <c r="B2525" s="101" t="s">
        <v>64</v>
      </c>
      <c r="C2525" s="30">
        <v>45</v>
      </c>
      <c r="D2525" s="101">
        <v>780</v>
      </c>
      <c r="E2525" s="25"/>
      <c r="F2525" s="99">
        <f>6.2+6.27</f>
        <v>12.469999999999999</v>
      </c>
    </row>
    <row r="2526" spans="2:6" x14ac:dyDescent="0.2">
      <c r="B2526" s="101" t="s">
        <v>64</v>
      </c>
      <c r="C2526" s="30">
        <v>45</v>
      </c>
      <c r="D2526" s="101">
        <v>780</v>
      </c>
      <c r="E2526" s="183"/>
      <c r="F2526" s="99">
        <v>0.65</v>
      </c>
    </row>
    <row r="2527" spans="2:6" x14ac:dyDescent="0.2">
      <c r="B2527" s="101" t="s">
        <v>64</v>
      </c>
      <c r="C2527" s="30">
        <v>45</v>
      </c>
      <c r="D2527" s="101" t="s">
        <v>2118</v>
      </c>
      <c r="E2527" s="183"/>
      <c r="F2527" s="99">
        <v>0.41</v>
      </c>
    </row>
    <row r="2528" spans="2:6" x14ac:dyDescent="0.2">
      <c r="B2528" s="101" t="s">
        <v>64</v>
      </c>
      <c r="C2528" s="30">
        <v>45</v>
      </c>
      <c r="D2528" s="101" t="s">
        <v>2119</v>
      </c>
      <c r="E2528" s="25"/>
      <c r="F2528" s="99">
        <v>1.77</v>
      </c>
    </row>
    <row r="2529" spans="2:6" x14ac:dyDescent="0.2">
      <c r="B2529" s="101" t="s">
        <v>64</v>
      </c>
      <c r="C2529" s="30">
        <v>45</v>
      </c>
      <c r="D2529" s="101">
        <v>800</v>
      </c>
      <c r="E2529" s="183"/>
      <c r="F2529" s="99">
        <v>9.33</v>
      </c>
    </row>
    <row r="2530" spans="2:6" x14ac:dyDescent="0.2">
      <c r="B2530" s="101" t="s">
        <v>64</v>
      </c>
      <c r="C2530" s="30">
        <v>45</v>
      </c>
      <c r="D2530" s="101">
        <v>800</v>
      </c>
      <c r="E2530" s="183"/>
      <c r="F2530" s="99">
        <v>8.1</v>
      </c>
    </row>
    <row r="2531" spans="2:6" x14ac:dyDescent="0.2">
      <c r="B2531" s="101" t="s">
        <v>64</v>
      </c>
      <c r="C2531" s="30">
        <v>45</v>
      </c>
      <c r="D2531" s="101">
        <v>800</v>
      </c>
      <c r="E2531" s="183"/>
      <c r="F2531" s="99">
        <f>6.32+6.32</f>
        <v>12.64</v>
      </c>
    </row>
    <row r="2532" spans="2:6" x14ac:dyDescent="0.2">
      <c r="B2532" s="101" t="s">
        <v>64</v>
      </c>
      <c r="C2532" s="30">
        <v>45</v>
      </c>
      <c r="D2532" s="101">
        <v>800</v>
      </c>
      <c r="E2532" s="183"/>
      <c r="F2532" s="99">
        <v>0.54</v>
      </c>
    </row>
    <row r="2533" spans="2:6" x14ac:dyDescent="0.2">
      <c r="B2533" s="101" t="s">
        <v>64</v>
      </c>
      <c r="C2533" s="30">
        <v>45</v>
      </c>
      <c r="D2533" s="101" t="s">
        <v>2124</v>
      </c>
      <c r="E2533" s="183"/>
      <c r="F2533" s="99">
        <f>1.1+1.14</f>
        <v>2.2400000000000002</v>
      </c>
    </row>
    <row r="2534" spans="2:6" x14ac:dyDescent="0.2">
      <c r="B2534" s="101" t="s">
        <v>64</v>
      </c>
      <c r="C2534" s="30">
        <v>45</v>
      </c>
      <c r="D2534" s="101">
        <v>820</v>
      </c>
      <c r="E2534" s="183"/>
      <c r="F2534" s="99">
        <v>9.94</v>
      </c>
    </row>
    <row r="2535" spans="2:6" x14ac:dyDescent="0.2">
      <c r="B2535" s="101" t="s">
        <v>64</v>
      </c>
      <c r="C2535" s="30">
        <v>45</v>
      </c>
      <c r="D2535" s="101" t="s">
        <v>2131</v>
      </c>
      <c r="E2535" s="183"/>
      <c r="F2535" s="99">
        <v>9</v>
      </c>
    </row>
    <row r="2536" spans="2:6" x14ac:dyDescent="0.2">
      <c r="B2536" s="101" t="s">
        <v>64</v>
      </c>
      <c r="C2536" s="30">
        <v>45</v>
      </c>
      <c r="D2536" s="101">
        <v>820</v>
      </c>
      <c r="E2536" s="183"/>
      <c r="F2536" s="99">
        <v>2.11</v>
      </c>
    </row>
    <row r="2537" spans="2:6" x14ac:dyDescent="0.2">
      <c r="B2537" s="101" t="s">
        <v>64</v>
      </c>
      <c r="C2537" s="30">
        <v>45</v>
      </c>
      <c r="D2537" s="101" t="s">
        <v>2132</v>
      </c>
      <c r="E2537" s="183"/>
      <c r="F2537" s="99">
        <v>1.39</v>
      </c>
    </row>
    <row r="2538" spans="2:6" x14ac:dyDescent="0.2">
      <c r="B2538" s="101" t="s">
        <v>64</v>
      </c>
      <c r="C2538" s="30">
        <v>45</v>
      </c>
      <c r="D2538" s="101">
        <v>820</v>
      </c>
      <c r="E2538" s="183"/>
      <c r="F2538" s="99">
        <v>0.66</v>
      </c>
    </row>
    <row r="2539" spans="2:6" x14ac:dyDescent="0.2">
      <c r="B2539" s="101" t="s">
        <v>64</v>
      </c>
      <c r="C2539" s="30">
        <v>45</v>
      </c>
      <c r="D2539" s="101" t="s">
        <v>2133</v>
      </c>
      <c r="E2539" s="183"/>
      <c r="F2539" s="99">
        <v>9.1999999999999993</v>
      </c>
    </row>
    <row r="2540" spans="2:6" x14ac:dyDescent="0.2">
      <c r="B2540" s="101" t="s">
        <v>64</v>
      </c>
      <c r="C2540" s="30">
        <v>45</v>
      </c>
      <c r="D2540" s="101" t="s">
        <v>2134</v>
      </c>
      <c r="E2540" s="183"/>
      <c r="F2540" s="99">
        <v>1.1399999999999999</v>
      </c>
    </row>
    <row r="2541" spans="2:6" x14ac:dyDescent="0.2">
      <c r="B2541" s="101" t="s">
        <v>64</v>
      </c>
      <c r="C2541" s="30">
        <v>45</v>
      </c>
      <c r="D2541" s="101" t="s">
        <v>2135</v>
      </c>
      <c r="E2541" s="183"/>
      <c r="F2541" s="99">
        <f>0.98+0.94+0.91-1.89+0.94</f>
        <v>1.8800000000000001</v>
      </c>
    </row>
    <row r="2542" spans="2:6" x14ac:dyDescent="0.2">
      <c r="B2542" s="101" t="s">
        <v>64</v>
      </c>
      <c r="C2542" s="30">
        <v>45</v>
      </c>
      <c r="D2542" s="101" t="s">
        <v>2136</v>
      </c>
      <c r="E2542" s="183"/>
      <c r="F2542" s="99">
        <f>0.91+0.87</f>
        <v>1.78</v>
      </c>
    </row>
    <row r="2543" spans="2:6" x14ac:dyDescent="0.2">
      <c r="B2543" s="101" t="s">
        <v>64</v>
      </c>
      <c r="C2543" s="30">
        <v>45</v>
      </c>
      <c r="D2543" s="101" t="s">
        <v>2137</v>
      </c>
      <c r="E2543" s="183"/>
      <c r="F2543" s="99">
        <f>0.88</f>
        <v>0.88</v>
      </c>
    </row>
    <row r="2544" spans="2:6" x14ac:dyDescent="0.2">
      <c r="B2544" s="101" t="s">
        <v>64</v>
      </c>
      <c r="C2544" s="30">
        <v>45</v>
      </c>
      <c r="D2544" s="101" t="s">
        <v>2142</v>
      </c>
      <c r="E2544" s="183"/>
      <c r="F2544" s="99">
        <f>0.89+0.9</f>
        <v>1.79</v>
      </c>
    </row>
    <row r="2545" spans="2:6" x14ac:dyDescent="0.2">
      <c r="B2545" s="101" t="s">
        <v>64</v>
      </c>
      <c r="C2545" s="30">
        <v>45</v>
      </c>
      <c r="D2545" s="101" t="s">
        <v>2143</v>
      </c>
      <c r="E2545" s="183"/>
      <c r="F2545" s="99">
        <v>0.91</v>
      </c>
    </row>
    <row r="2546" spans="2:6" x14ac:dyDescent="0.2">
      <c r="B2546" s="101" t="s">
        <v>64</v>
      </c>
      <c r="C2546" s="30">
        <v>45</v>
      </c>
      <c r="D2546" s="101" t="s">
        <v>2143</v>
      </c>
      <c r="E2546" s="183"/>
      <c r="F2546" s="99">
        <v>0.9</v>
      </c>
    </row>
    <row r="2547" spans="2:6" x14ac:dyDescent="0.2">
      <c r="B2547" s="101" t="s">
        <v>64</v>
      </c>
      <c r="C2547" s="30">
        <v>45</v>
      </c>
      <c r="D2547" s="101">
        <v>840</v>
      </c>
      <c r="E2547" s="183"/>
      <c r="F2547" s="99">
        <f>1.33</f>
        <v>1.33</v>
      </c>
    </row>
    <row r="2548" spans="2:6" x14ac:dyDescent="0.2">
      <c r="B2548" s="101" t="s">
        <v>64</v>
      </c>
      <c r="C2548" s="30">
        <v>45</v>
      </c>
      <c r="D2548" s="101" t="s">
        <v>2145</v>
      </c>
      <c r="E2548" s="183"/>
      <c r="F2548" s="99">
        <v>0.9</v>
      </c>
    </row>
    <row r="2549" spans="2:6" x14ac:dyDescent="0.2">
      <c r="B2549" s="101" t="s">
        <v>64</v>
      </c>
      <c r="C2549" s="30">
        <v>45</v>
      </c>
      <c r="D2549" s="101">
        <v>850</v>
      </c>
      <c r="E2549" s="183"/>
      <c r="F2549" s="99">
        <f>11.85+7.92</f>
        <v>19.77</v>
      </c>
    </row>
    <row r="2550" spans="2:6" x14ac:dyDescent="0.2">
      <c r="B2550" s="101" t="s">
        <v>64</v>
      </c>
      <c r="C2550" s="30">
        <v>45</v>
      </c>
      <c r="D2550" s="101" t="s">
        <v>2149</v>
      </c>
      <c r="E2550" s="183"/>
      <c r="F2550" s="99"/>
    </row>
    <row r="2551" spans="2:6" x14ac:dyDescent="0.2">
      <c r="B2551" s="101" t="s">
        <v>64</v>
      </c>
      <c r="C2551" s="30">
        <v>45</v>
      </c>
      <c r="D2551" s="101" t="s">
        <v>2146</v>
      </c>
      <c r="E2551" s="183"/>
      <c r="F2551" s="99">
        <f>8.71-0.64-0.65-2.01</f>
        <v>5.41</v>
      </c>
    </row>
    <row r="2552" spans="2:6" x14ac:dyDescent="0.2">
      <c r="B2552" s="101" t="s">
        <v>64</v>
      </c>
      <c r="C2552" s="30">
        <v>45</v>
      </c>
      <c r="D2552" s="101">
        <v>850</v>
      </c>
      <c r="E2552" s="183"/>
      <c r="F2552" s="99">
        <v>1.52</v>
      </c>
    </row>
    <row r="2553" spans="2:6" x14ac:dyDescent="0.2">
      <c r="B2553" s="101" t="s">
        <v>64</v>
      </c>
      <c r="C2553" s="30">
        <v>45</v>
      </c>
      <c r="D2553" s="101" t="s">
        <v>2150</v>
      </c>
      <c r="E2553" s="183"/>
      <c r="F2553" s="99">
        <v>1.04</v>
      </c>
    </row>
    <row r="2554" spans="2:6" x14ac:dyDescent="0.2">
      <c r="B2554" s="101" t="s">
        <v>64</v>
      </c>
      <c r="C2554" s="30">
        <v>45</v>
      </c>
      <c r="D2554" s="101" t="s">
        <v>2589</v>
      </c>
      <c r="E2554" s="183"/>
      <c r="F2554" s="99">
        <v>2.2000000000000002</v>
      </c>
    </row>
    <row r="2555" spans="2:6" x14ac:dyDescent="0.2">
      <c r="B2555" s="101" t="s">
        <v>64</v>
      </c>
      <c r="C2555" s="30">
        <v>45</v>
      </c>
      <c r="D2555" s="101">
        <v>860</v>
      </c>
      <c r="E2555" s="183"/>
      <c r="F2555" s="99">
        <v>13.9</v>
      </c>
    </row>
    <row r="2556" spans="2:6" x14ac:dyDescent="0.2">
      <c r="B2556" s="101" t="s">
        <v>64</v>
      </c>
      <c r="C2556" s="30">
        <v>45</v>
      </c>
      <c r="D2556" s="101">
        <v>860</v>
      </c>
      <c r="E2556" s="183"/>
      <c r="F2556" s="99">
        <v>3.42</v>
      </c>
    </row>
    <row r="2557" spans="2:6" x14ac:dyDescent="0.2">
      <c r="B2557" s="101" t="s">
        <v>64</v>
      </c>
      <c r="C2557" s="30">
        <v>45</v>
      </c>
      <c r="D2557" s="101">
        <v>860</v>
      </c>
      <c r="E2557" s="183"/>
      <c r="F2557" s="99">
        <v>0.69</v>
      </c>
    </row>
    <row r="2558" spans="2:6" x14ac:dyDescent="0.2">
      <c r="B2558" s="101" t="s">
        <v>64</v>
      </c>
      <c r="C2558" s="30">
        <v>45</v>
      </c>
      <c r="D2558" s="101">
        <v>860</v>
      </c>
      <c r="E2558" s="183"/>
      <c r="F2558" s="99">
        <v>0.48</v>
      </c>
    </row>
    <row r="2559" spans="2:6" x14ac:dyDescent="0.2">
      <c r="B2559" s="101" t="s">
        <v>64</v>
      </c>
      <c r="C2559" s="30">
        <v>45</v>
      </c>
      <c r="D2559" s="101" t="s">
        <v>2154</v>
      </c>
      <c r="E2559" s="183"/>
      <c r="F2559" s="99">
        <v>1</v>
      </c>
    </row>
    <row r="2560" spans="2:6" x14ac:dyDescent="0.2">
      <c r="B2560" s="101" t="s">
        <v>64</v>
      </c>
      <c r="C2560" s="30">
        <v>45</v>
      </c>
      <c r="D2560" s="101" t="s">
        <v>2157</v>
      </c>
      <c r="E2560" s="183"/>
      <c r="F2560" s="99">
        <v>1.7</v>
      </c>
    </row>
    <row r="2561" spans="2:6" x14ac:dyDescent="0.2">
      <c r="B2561" s="101" t="s">
        <v>64</v>
      </c>
      <c r="C2561" s="30">
        <v>45</v>
      </c>
      <c r="D2561" s="101">
        <v>870</v>
      </c>
      <c r="E2561" s="183"/>
      <c r="F2561" s="99">
        <v>5.9450000000000003</v>
      </c>
    </row>
    <row r="2562" spans="2:6" x14ac:dyDescent="0.2">
      <c r="B2562" s="101" t="s">
        <v>64</v>
      </c>
      <c r="C2562" s="30">
        <v>45</v>
      </c>
      <c r="D2562" s="101" t="s">
        <v>2160</v>
      </c>
      <c r="E2562" s="183"/>
      <c r="F2562" s="99">
        <v>1.01</v>
      </c>
    </row>
    <row r="2563" spans="2:6" x14ac:dyDescent="0.2">
      <c r="B2563" s="101" t="s">
        <v>64</v>
      </c>
      <c r="C2563" s="30">
        <v>45</v>
      </c>
      <c r="D2563" s="101" t="s">
        <v>2158</v>
      </c>
      <c r="E2563" s="183"/>
      <c r="F2563" s="99">
        <v>1.33</v>
      </c>
    </row>
    <row r="2564" spans="2:6" x14ac:dyDescent="0.2">
      <c r="B2564" s="101" t="s">
        <v>64</v>
      </c>
      <c r="C2564" s="30">
        <v>45</v>
      </c>
      <c r="D2564" s="101" t="s">
        <v>2161</v>
      </c>
      <c r="E2564" s="183"/>
      <c r="F2564" s="99">
        <v>1.68</v>
      </c>
    </row>
    <row r="2565" spans="2:6" x14ac:dyDescent="0.2">
      <c r="B2565" s="101" t="s">
        <v>64</v>
      </c>
      <c r="C2565" s="30">
        <v>45</v>
      </c>
      <c r="D2565" s="101" t="s">
        <v>2163</v>
      </c>
      <c r="E2565" s="183"/>
      <c r="F2565" s="99">
        <v>1.02</v>
      </c>
    </row>
    <row r="2566" spans="2:6" x14ac:dyDescent="0.2">
      <c r="B2566" s="101" t="s">
        <v>64</v>
      </c>
      <c r="C2566" s="30">
        <v>45</v>
      </c>
      <c r="D2566" s="101" t="s">
        <v>2168</v>
      </c>
      <c r="E2566" s="183"/>
      <c r="F2566" s="99"/>
    </row>
    <row r="2567" spans="2:6" x14ac:dyDescent="0.2">
      <c r="B2567" s="101" t="s">
        <v>64</v>
      </c>
      <c r="C2567" s="30">
        <v>45</v>
      </c>
      <c r="D2567" s="101" t="s">
        <v>2169</v>
      </c>
      <c r="E2567" s="183"/>
      <c r="F2567" s="99">
        <v>1.7</v>
      </c>
    </row>
    <row r="2568" spans="2:6" x14ac:dyDescent="0.2">
      <c r="B2568" s="101" t="s">
        <v>64</v>
      </c>
      <c r="C2568" s="30">
        <v>45</v>
      </c>
      <c r="D2568" s="101" t="s">
        <v>2593</v>
      </c>
      <c r="E2568" s="183"/>
      <c r="F2568" s="99">
        <v>12.08</v>
      </c>
    </row>
    <row r="2569" spans="2:6" x14ac:dyDescent="0.2">
      <c r="B2569" s="101" t="s">
        <v>64</v>
      </c>
      <c r="C2569" s="30">
        <v>45</v>
      </c>
      <c r="D2569" s="101">
        <v>900</v>
      </c>
      <c r="E2569" s="183"/>
      <c r="F2569" s="99">
        <v>14.42</v>
      </c>
    </row>
    <row r="2570" spans="2:6" x14ac:dyDescent="0.2">
      <c r="B2570" s="101" t="s">
        <v>64</v>
      </c>
      <c r="C2570" s="30">
        <v>45</v>
      </c>
      <c r="D2570" s="101">
        <v>900</v>
      </c>
      <c r="E2570" s="183"/>
      <c r="F2570" s="99">
        <v>8.44</v>
      </c>
    </row>
    <row r="2571" spans="2:6" x14ac:dyDescent="0.2">
      <c r="B2571" s="101" t="s">
        <v>64</v>
      </c>
      <c r="C2571" s="30">
        <v>45</v>
      </c>
      <c r="D2571" s="101">
        <v>900</v>
      </c>
      <c r="E2571" s="183"/>
      <c r="F2571" s="99">
        <v>6.19</v>
      </c>
    </row>
    <row r="2572" spans="2:6" x14ac:dyDescent="0.2">
      <c r="B2572" s="101" t="s">
        <v>64</v>
      </c>
      <c r="C2572" s="30">
        <v>45</v>
      </c>
      <c r="D2572" s="101">
        <v>900</v>
      </c>
      <c r="E2572" s="183"/>
      <c r="F2572" s="99">
        <v>3.5</v>
      </c>
    </row>
    <row r="2573" spans="2:6" x14ac:dyDescent="0.2">
      <c r="B2573" s="101" t="s">
        <v>64</v>
      </c>
      <c r="C2573" s="30">
        <v>45</v>
      </c>
      <c r="D2573" s="101">
        <v>900</v>
      </c>
      <c r="E2573" s="183"/>
      <c r="F2573" s="99">
        <f>1.63+1.63+1.27</f>
        <v>4.5299999999999994</v>
      </c>
    </row>
    <row r="2574" spans="2:6" x14ac:dyDescent="0.2">
      <c r="B2574" s="101" t="s">
        <v>64</v>
      </c>
      <c r="C2574" s="30">
        <v>45</v>
      </c>
      <c r="D2574" s="101">
        <v>900</v>
      </c>
      <c r="E2574" s="183"/>
      <c r="F2574" s="99">
        <f>0.74+0.73</f>
        <v>1.47</v>
      </c>
    </row>
    <row r="2575" spans="2:6" x14ac:dyDescent="0.2">
      <c r="B2575" s="101" t="s">
        <v>64</v>
      </c>
      <c r="C2575" s="30">
        <v>45</v>
      </c>
      <c r="D2575" s="101">
        <v>900</v>
      </c>
      <c r="E2575" s="183"/>
      <c r="F2575" s="99">
        <f>4.08-0.66-1.98</f>
        <v>1.44</v>
      </c>
    </row>
    <row r="2576" spans="2:6" x14ac:dyDescent="0.2">
      <c r="B2576" s="101" t="s">
        <v>64</v>
      </c>
      <c r="C2576" s="30">
        <v>45</v>
      </c>
      <c r="D2576" s="101" t="s">
        <v>2178</v>
      </c>
      <c r="E2576" s="183"/>
      <c r="F2576" s="99">
        <v>0.9</v>
      </c>
    </row>
    <row r="2577" spans="2:6" x14ac:dyDescent="0.2">
      <c r="B2577" s="101" t="s">
        <v>64</v>
      </c>
      <c r="C2577" s="30">
        <v>45</v>
      </c>
      <c r="D2577" s="101" t="s">
        <v>2179</v>
      </c>
      <c r="E2577" s="183"/>
      <c r="F2577" s="99">
        <v>1.39</v>
      </c>
    </row>
    <row r="2578" spans="2:6" x14ac:dyDescent="0.2">
      <c r="B2578" s="101" t="s">
        <v>64</v>
      </c>
      <c r="C2578" s="30">
        <v>45</v>
      </c>
      <c r="D2578" s="101" t="s">
        <v>2180</v>
      </c>
      <c r="E2578" s="183"/>
      <c r="F2578" s="99">
        <v>1.62</v>
      </c>
    </row>
    <row r="2579" spans="2:6" x14ac:dyDescent="0.2">
      <c r="B2579" s="101" t="s">
        <v>64</v>
      </c>
      <c r="C2579" s="30">
        <v>45</v>
      </c>
      <c r="D2579" s="101" t="s">
        <v>2181</v>
      </c>
      <c r="E2579" s="183"/>
      <c r="F2579" s="99">
        <v>0.5</v>
      </c>
    </row>
    <row r="2580" spans="2:6" x14ac:dyDescent="0.2">
      <c r="B2580" s="101" t="s">
        <v>64</v>
      </c>
      <c r="C2580" s="30">
        <v>45</v>
      </c>
      <c r="D2580" s="101" t="s">
        <v>2182</v>
      </c>
      <c r="E2580" s="183"/>
      <c r="F2580" s="99">
        <v>0.57999999999999996</v>
      </c>
    </row>
    <row r="2581" spans="2:6" x14ac:dyDescent="0.2">
      <c r="B2581" s="101" t="s">
        <v>64</v>
      </c>
      <c r="C2581" s="30">
        <v>45</v>
      </c>
      <c r="D2581" s="101">
        <v>910</v>
      </c>
      <c r="E2581" s="183"/>
      <c r="F2581" s="99">
        <v>3.56</v>
      </c>
    </row>
    <row r="2582" spans="2:6" x14ac:dyDescent="0.2">
      <c r="B2582" s="101" t="s">
        <v>64</v>
      </c>
      <c r="C2582" s="30">
        <v>45</v>
      </c>
      <c r="D2582" s="101">
        <v>910</v>
      </c>
      <c r="E2582" s="183"/>
      <c r="F2582" s="99">
        <v>0.73</v>
      </c>
    </row>
    <row r="2583" spans="2:6" x14ac:dyDescent="0.2">
      <c r="B2583" s="101" t="s">
        <v>64</v>
      </c>
      <c r="C2583" s="30">
        <v>45</v>
      </c>
      <c r="D2583" s="101" t="s">
        <v>2196</v>
      </c>
      <c r="E2583" s="183"/>
      <c r="F2583" s="99">
        <v>1.2</v>
      </c>
    </row>
    <row r="2584" spans="2:6" x14ac:dyDescent="0.2">
      <c r="B2584" s="101" t="s">
        <v>64</v>
      </c>
      <c r="C2584" s="30">
        <v>45</v>
      </c>
      <c r="D2584" s="101">
        <v>920</v>
      </c>
      <c r="E2584" s="183"/>
      <c r="F2584" s="99">
        <v>10.83</v>
      </c>
    </row>
    <row r="2585" spans="2:6" x14ac:dyDescent="0.2">
      <c r="B2585" s="101" t="s">
        <v>64</v>
      </c>
      <c r="C2585" s="30">
        <v>45</v>
      </c>
      <c r="D2585" s="101">
        <v>920</v>
      </c>
      <c r="E2585" s="183"/>
      <c r="F2585" s="99">
        <v>0.74</v>
      </c>
    </row>
    <row r="2586" spans="2:6" x14ac:dyDescent="0.2">
      <c r="B2586" s="101" t="s">
        <v>64</v>
      </c>
      <c r="C2586" s="30">
        <v>45</v>
      </c>
      <c r="D2586" s="101" t="s">
        <v>2204</v>
      </c>
      <c r="E2586" s="183"/>
      <c r="F2586" s="99">
        <v>1.78</v>
      </c>
    </row>
    <row r="2587" spans="2:6" x14ac:dyDescent="0.2">
      <c r="B2587" s="101" t="s">
        <v>64</v>
      </c>
      <c r="C2587" s="30">
        <v>45</v>
      </c>
      <c r="D2587" s="101" t="s">
        <v>2205</v>
      </c>
      <c r="E2587" s="183"/>
      <c r="F2587" s="99">
        <v>1.84</v>
      </c>
    </row>
    <row r="2588" spans="2:6" x14ac:dyDescent="0.2">
      <c r="B2588" s="101" t="s">
        <v>64</v>
      </c>
      <c r="C2588" s="30">
        <v>45</v>
      </c>
      <c r="D2588" s="101" t="s">
        <v>2206</v>
      </c>
      <c r="E2588" s="183"/>
      <c r="F2588" s="99">
        <v>0.92</v>
      </c>
    </row>
    <row r="2589" spans="2:6" x14ac:dyDescent="0.2">
      <c r="B2589" s="101" t="s">
        <v>64</v>
      </c>
      <c r="C2589" s="30">
        <v>45</v>
      </c>
      <c r="D2589" s="101" t="s">
        <v>2207</v>
      </c>
      <c r="E2589" s="183"/>
      <c r="F2589" s="99">
        <v>0.92</v>
      </c>
    </row>
    <row r="2590" spans="2:6" x14ac:dyDescent="0.2">
      <c r="B2590" s="101" t="s">
        <v>64</v>
      </c>
      <c r="C2590" s="30">
        <v>45</v>
      </c>
      <c r="D2590" s="101" t="s">
        <v>2208</v>
      </c>
      <c r="E2590" s="183"/>
      <c r="F2590" s="99">
        <v>1.68</v>
      </c>
    </row>
    <row r="2591" spans="2:6" x14ac:dyDescent="0.2">
      <c r="B2591" s="101" t="s">
        <v>64</v>
      </c>
      <c r="C2591" s="30">
        <v>45</v>
      </c>
      <c r="D2591" s="101" t="s">
        <v>2209</v>
      </c>
      <c r="E2591" s="183"/>
      <c r="F2591" s="99">
        <v>0.84</v>
      </c>
    </row>
    <row r="2592" spans="2:6" x14ac:dyDescent="0.2">
      <c r="B2592" s="101" t="s">
        <v>64</v>
      </c>
      <c r="C2592" s="30">
        <v>45</v>
      </c>
      <c r="D2592" s="101">
        <v>930</v>
      </c>
      <c r="E2592" s="183"/>
      <c r="F2592" s="99">
        <v>1.38</v>
      </c>
    </row>
    <row r="2593" spans="2:6" x14ac:dyDescent="0.2">
      <c r="B2593" s="101" t="s">
        <v>64</v>
      </c>
      <c r="C2593" s="30">
        <v>45</v>
      </c>
      <c r="D2593" s="101">
        <v>930</v>
      </c>
      <c r="E2593" s="183"/>
      <c r="F2593" s="99">
        <v>1.41</v>
      </c>
    </row>
    <row r="2594" spans="2:6" x14ac:dyDescent="0.2">
      <c r="B2594" s="101" t="s">
        <v>64</v>
      </c>
      <c r="C2594" s="30">
        <v>45</v>
      </c>
      <c r="D2594" s="101">
        <v>930</v>
      </c>
      <c r="E2594" s="183"/>
      <c r="F2594" s="99">
        <v>1.89</v>
      </c>
    </row>
    <row r="2595" spans="2:6" x14ac:dyDescent="0.2">
      <c r="B2595" s="101" t="s">
        <v>64</v>
      </c>
      <c r="C2595" s="30">
        <v>45</v>
      </c>
      <c r="D2595" s="101" t="s">
        <v>2219</v>
      </c>
      <c r="E2595" s="183"/>
      <c r="F2595" s="99">
        <v>0.84</v>
      </c>
    </row>
    <row r="2596" spans="2:6" x14ac:dyDescent="0.2">
      <c r="B2596" s="101" t="s">
        <v>64</v>
      </c>
      <c r="C2596" s="30">
        <v>45</v>
      </c>
      <c r="D2596" s="101" t="s">
        <v>2220</v>
      </c>
      <c r="E2596" s="183"/>
      <c r="F2596" s="99">
        <v>1.85</v>
      </c>
    </row>
    <row r="2597" spans="2:6" x14ac:dyDescent="0.2">
      <c r="B2597" s="101" t="s">
        <v>64</v>
      </c>
      <c r="C2597" s="30">
        <v>45</v>
      </c>
      <c r="D2597" s="101" t="s">
        <v>2221</v>
      </c>
      <c r="E2597" s="183"/>
      <c r="F2597" s="99">
        <v>1.78</v>
      </c>
    </row>
    <row r="2598" spans="2:6" x14ac:dyDescent="0.2">
      <c r="B2598" s="101" t="s">
        <v>64</v>
      </c>
      <c r="C2598" s="30">
        <v>45</v>
      </c>
      <c r="D2598" s="101" t="s">
        <v>2222</v>
      </c>
      <c r="E2598" s="183"/>
      <c r="F2598" s="99">
        <v>1.08</v>
      </c>
    </row>
    <row r="2599" spans="2:6" x14ac:dyDescent="0.2">
      <c r="B2599" s="101" t="s">
        <v>64</v>
      </c>
      <c r="C2599" s="30">
        <v>45</v>
      </c>
      <c r="D2599" s="101" t="s">
        <v>2223</v>
      </c>
      <c r="E2599" s="183"/>
      <c r="F2599" s="99">
        <v>0.98</v>
      </c>
    </row>
    <row r="2600" spans="2:6" x14ac:dyDescent="0.2">
      <c r="B2600" s="101" t="s">
        <v>64</v>
      </c>
      <c r="C2600" s="30">
        <v>45</v>
      </c>
      <c r="D2600" s="101">
        <v>940</v>
      </c>
      <c r="E2600" s="183"/>
      <c r="F2600" s="99">
        <v>13.22</v>
      </c>
    </row>
    <row r="2601" spans="2:6" x14ac:dyDescent="0.2">
      <c r="B2601" s="101" t="s">
        <v>64</v>
      </c>
      <c r="C2601" s="30">
        <v>45</v>
      </c>
      <c r="D2601" s="101" t="s">
        <v>2226</v>
      </c>
      <c r="E2601" s="183"/>
      <c r="F2601" s="99">
        <v>1.42</v>
      </c>
    </row>
    <row r="2602" spans="2:6" x14ac:dyDescent="0.2">
      <c r="B2602" s="101" t="s">
        <v>64</v>
      </c>
      <c r="C2602" s="30">
        <v>45</v>
      </c>
      <c r="D2602" s="101" t="s">
        <v>2227</v>
      </c>
      <c r="E2602" s="183"/>
      <c r="F2602" s="99">
        <v>1.08</v>
      </c>
    </row>
    <row r="2603" spans="2:6" x14ac:dyDescent="0.2">
      <c r="B2603" s="101" t="s">
        <v>64</v>
      </c>
      <c r="C2603" s="30">
        <v>45</v>
      </c>
      <c r="D2603" s="101" t="s">
        <v>2228</v>
      </c>
      <c r="E2603" s="183"/>
      <c r="F2603" s="99">
        <v>0.91</v>
      </c>
    </row>
    <row r="2604" spans="2:6" x14ac:dyDescent="0.2">
      <c r="B2604" s="101" t="s">
        <v>64</v>
      </c>
      <c r="C2604" s="30">
        <v>45</v>
      </c>
      <c r="D2604" s="101" t="s">
        <v>2229</v>
      </c>
      <c r="E2604" s="183"/>
      <c r="F2604" s="99">
        <v>1.05</v>
      </c>
    </row>
    <row r="2605" spans="2:6" x14ac:dyDescent="0.2">
      <c r="B2605" s="101" t="s">
        <v>64</v>
      </c>
      <c r="C2605" s="30">
        <v>45</v>
      </c>
      <c r="D2605" s="101" t="s">
        <v>2230</v>
      </c>
      <c r="E2605" s="183"/>
      <c r="F2605" s="99">
        <v>0.92</v>
      </c>
    </row>
    <row r="2606" spans="2:6" x14ac:dyDescent="0.2">
      <c r="B2606" s="101" t="s">
        <v>64</v>
      </c>
      <c r="C2606" s="30">
        <v>45</v>
      </c>
      <c r="D2606" s="101" t="s">
        <v>2595</v>
      </c>
      <c r="E2606" s="183"/>
      <c r="F2606" s="99">
        <v>1.04</v>
      </c>
    </row>
    <row r="2607" spans="2:6" x14ac:dyDescent="0.2">
      <c r="B2607" s="101" t="s">
        <v>64</v>
      </c>
      <c r="C2607" s="30">
        <v>45</v>
      </c>
      <c r="D2607" s="101" t="s">
        <v>2596</v>
      </c>
      <c r="E2607" s="183"/>
      <c r="F2607" s="99">
        <v>1.58</v>
      </c>
    </row>
    <row r="2608" spans="2:6" x14ac:dyDescent="0.2">
      <c r="B2608" s="101" t="s">
        <v>64</v>
      </c>
      <c r="C2608" s="30">
        <v>45</v>
      </c>
      <c r="D2608" s="101" t="s">
        <v>2233</v>
      </c>
      <c r="E2608" s="183"/>
      <c r="F2608" s="99">
        <v>4.93</v>
      </c>
    </row>
    <row r="2609" spans="2:6" x14ac:dyDescent="0.2">
      <c r="B2609" s="101" t="s">
        <v>64</v>
      </c>
      <c r="C2609" s="30">
        <v>45</v>
      </c>
      <c r="D2609" s="101">
        <v>950</v>
      </c>
      <c r="E2609" s="183"/>
      <c r="F2609" s="99">
        <v>9.1199999999999992</v>
      </c>
    </row>
    <row r="2610" spans="2:6" x14ac:dyDescent="0.2">
      <c r="B2610" s="101" t="s">
        <v>64</v>
      </c>
      <c r="C2610" s="30">
        <v>45</v>
      </c>
      <c r="D2610" s="101">
        <v>950</v>
      </c>
      <c r="E2610" s="183"/>
      <c r="F2610" s="99">
        <f>1.31+1.31</f>
        <v>2.62</v>
      </c>
    </row>
    <row r="2611" spans="2:6" x14ac:dyDescent="0.2">
      <c r="B2611" s="101" t="s">
        <v>64</v>
      </c>
      <c r="C2611" s="30">
        <v>45</v>
      </c>
      <c r="D2611" s="101">
        <v>950</v>
      </c>
      <c r="E2611" s="183"/>
      <c r="F2611" s="99">
        <f>1.88+1.97</f>
        <v>3.8499999999999996</v>
      </c>
    </row>
    <row r="2612" spans="2:6" x14ac:dyDescent="0.2">
      <c r="B2612" s="101" t="s">
        <v>64</v>
      </c>
      <c r="C2612" s="30">
        <v>45</v>
      </c>
      <c r="D2612" s="101">
        <v>950</v>
      </c>
      <c r="E2612" s="183"/>
      <c r="F2612" s="99">
        <v>1.18</v>
      </c>
    </row>
    <row r="2613" spans="2:6" x14ac:dyDescent="0.2">
      <c r="B2613" s="101" t="s">
        <v>64</v>
      </c>
      <c r="C2613" s="30">
        <v>45</v>
      </c>
      <c r="D2613" s="101" t="s">
        <v>2235</v>
      </c>
      <c r="E2613" s="183"/>
      <c r="F2613" s="99">
        <v>1.44</v>
      </c>
    </row>
    <row r="2614" spans="2:6" x14ac:dyDescent="0.2">
      <c r="B2614" s="101" t="s">
        <v>64</v>
      </c>
      <c r="C2614" s="30">
        <v>45</v>
      </c>
      <c r="D2614" s="101" t="s">
        <v>2236</v>
      </c>
      <c r="E2614" s="183"/>
      <c r="F2614" s="99">
        <v>0.84</v>
      </c>
    </row>
    <row r="2615" spans="2:6" x14ac:dyDescent="0.2">
      <c r="B2615" s="101" t="s">
        <v>64</v>
      </c>
      <c r="C2615" s="30">
        <v>45</v>
      </c>
      <c r="D2615" s="101" t="s">
        <v>2237</v>
      </c>
      <c r="E2615" s="183"/>
      <c r="F2615" s="99">
        <v>2.85</v>
      </c>
    </row>
    <row r="2616" spans="2:6" x14ac:dyDescent="0.2">
      <c r="B2616" s="101" t="s">
        <v>64</v>
      </c>
      <c r="C2616" s="30">
        <v>45</v>
      </c>
      <c r="D2616" s="101" t="s">
        <v>2236</v>
      </c>
      <c r="E2616" s="183"/>
      <c r="F2616" s="99">
        <v>2.13</v>
      </c>
    </row>
    <row r="2617" spans="2:6" x14ac:dyDescent="0.2">
      <c r="B2617" s="101" t="s">
        <v>64</v>
      </c>
      <c r="C2617" s="30">
        <v>45</v>
      </c>
      <c r="D2617" s="101" t="s">
        <v>2238</v>
      </c>
      <c r="E2617" s="183"/>
      <c r="F2617" s="99">
        <v>1.08</v>
      </c>
    </row>
    <row r="2618" spans="2:6" x14ac:dyDescent="0.2">
      <c r="B2618" s="101" t="s">
        <v>64</v>
      </c>
      <c r="C2618" s="30">
        <v>45</v>
      </c>
      <c r="D2618" s="101" t="s">
        <v>2244</v>
      </c>
      <c r="E2618" s="183"/>
      <c r="F2618" s="99">
        <v>1.36</v>
      </c>
    </row>
    <row r="2619" spans="2:6" x14ac:dyDescent="0.2">
      <c r="B2619" s="101" t="s">
        <v>64</v>
      </c>
      <c r="C2619" s="30">
        <v>45</v>
      </c>
      <c r="D2619" s="101" t="s">
        <v>2245</v>
      </c>
      <c r="E2619" s="183"/>
      <c r="F2619" s="99">
        <v>1.1200000000000001</v>
      </c>
    </row>
    <row r="2620" spans="2:6" x14ac:dyDescent="0.2">
      <c r="B2620" s="101" t="s">
        <v>64</v>
      </c>
      <c r="C2620" s="30">
        <v>45</v>
      </c>
      <c r="D2620" s="101" t="s">
        <v>2246</v>
      </c>
      <c r="E2620" s="183"/>
      <c r="F2620" s="99">
        <v>4.5999999999999996</v>
      </c>
    </row>
    <row r="2621" spans="2:6" x14ac:dyDescent="0.2">
      <c r="B2621" s="101" t="s">
        <v>64</v>
      </c>
      <c r="C2621" s="30">
        <v>45</v>
      </c>
      <c r="D2621" s="101" t="s">
        <v>2247</v>
      </c>
      <c r="E2621" s="183"/>
      <c r="F2621" s="99">
        <v>7.65</v>
      </c>
    </row>
    <row r="2622" spans="2:6" x14ac:dyDescent="0.2">
      <c r="B2622" s="101" t="s">
        <v>64</v>
      </c>
      <c r="C2622" s="30">
        <v>45</v>
      </c>
      <c r="D2622" s="101" t="s">
        <v>2253</v>
      </c>
      <c r="E2622" s="183"/>
      <c r="F2622" s="99">
        <v>1.06</v>
      </c>
    </row>
    <row r="2623" spans="2:6" x14ac:dyDescent="0.2">
      <c r="B2623" s="101" t="s">
        <v>64</v>
      </c>
      <c r="C2623" s="30">
        <v>45</v>
      </c>
      <c r="D2623" s="101" t="s">
        <v>2259</v>
      </c>
      <c r="E2623" s="183"/>
      <c r="F2623" s="99">
        <v>0.95</v>
      </c>
    </row>
    <row r="2624" spans="2:6" x14ac:dyDescent="0.2">
      <c r="B2624" s="101" t="s">
        <v>64</v>
      </c>
      <c r="C2624" s="30">
        <v>45</v>
      </c>
      <c r="D2624" s="101" t="s">
        <v>2133</v>
      </c>
      <c r="E2624" s="183"/>
      <c r="F2624" s="99">
        <v>9.1999999999999993</v>
      </c>
    </row>
    <row r="2625" spans="2:6" x14ac:dyDescent="0.2">
      <c r="B2625" s="101" t="s">
        <v>64</v>
      </c>
      <c r="C2625" s="30">
        <v>45</v>
      </c>
      <c r="D2625" s="101">
        <v>1000</v>
      </c>
      <c r="E2625" s="183"/>
      <c r="F2625" s="99">
        <v>11.43</v>
      </c>
    </row>
    <row r="2626" spans="2:6" x14ac:dyDescent="0.2">
      <c r="B2626" s="101" t="s">
        <v>64</v>
      </c>
      <c r="C2626" s="30">
        <v>45</v>
      </c>
      <c r="D2626" s="101">
        <v>1000</v>
      </c>
      <c r="E2626" s="183"/>
      <c r="F2626" s="99">
        <v>11.8</v>
      </c>
    </row>
    <row r="2627" spans="2:6" x14ac:dyDescent="0.2">
      <c r="B2627" s="101" t="s">
        <v>64</v>
      </c>
      <c r="C2627" s="30">
        <v>45</v>
      </c>
      <c r="D2627" s="101" t="s">
        <v>2270</v>
      </c>
      <c r="E2627" s="183"/>
      <c r="F2627" s="99">
        <v>3.35</v>
      </c>
    </row>
    <row r="2628" spans="2:6" x14ac:dyDescent="0.2">
      <c r="B2628" s="101" t="s">
        <v>64</v>
      </c>
      <c r="C2628" s="30">
        <v>45</v>
      </c>
      <c r="D2628" s="101">
        <v>1000</v>
      </c>
      <c r="E2628" s="183"/>
      <c r="F2628" s="99">
        <v>2.4900000000000002</v>
      </c>
    </row>
    <row r="2629" spans="2:6" x14ac:dyDescent="0.2">
      <c r="B2629" s="101" t="s">
        <v>64</v>
      </c>
      <c r="C2629" s="30">
        <v>45</v>
      </c>
      <c r="D2629" s="101" t="s">
        <v>2271</v>
      </c>
      <c r="E2629" s="183"/>
      <c r="F2629" s="99">
        <v>2.5</v>
      </c>
    </row>
    <row r="2630" spans="2:6" x14ac:dyDescent="0.2">
      <c r="B2630" s="101" t="s">
        <v>64</v>
      </c>
      <c r="C2630" s="30">
        <v>45</v>
      </c>
      <c r="D2630" s="101" t="s">
        <v>2272</v>
      </c>
      <c r="E2630" s="183"/>
      <c r="F2630" s="99">
        <v>2.06</v>
      </c>
    </row>
    <row r="2631" spans="2:6" x14ac:dyDescent="0.2">
      <c r="B2631" s="101" t="s">
        <v>64</v>
      </c>
      <c r="C2631" s="30">
        <v>45</v>
      </c>
      <c r="D2631" s="101" t="s">
        <v>2282</v>
      </c>
      <c r="E2631" s="183"/>
      <c r="F2631" s="99">
        <v>0.67</v>
      </c>
    </row>
    <row r="2632" spans="2:6" x14ac:dyDescent="0.2">
      <c r="B2632" s="101" t="s">
        <v>64</v>
      </c>
      <c r="C2632" s="30">
        <v>45</v>
      </c>
      <c r="D2632" s="101" t="s">
        <v>2298</v>
      </c>
      <c r="E2632" s="183"/>
      <c r="F2632" s="99">
        <v>1.41</v>
      </c>
    </row>
    <row r="2633" spans="2:6" x14ac:dyDescent="0.2">
      <c r="B2633" s="101" t="s">
        <v>64</v>
      </c>
      <c r="C2633" s="30">
        <v>45</v>
      </c>
      <c r="D2633" s="101">
        <v>1050</v>
      </c>
      <c r="E2633" s="183"/>
      <c r="F2633" s="99">
        <v>15</v>
      </c>
    </row>
    <row r="2634" spans="2:6" x14ac:dyDescent="0.2">
      <c r="B2634" s="101" t="s">
        <v>64</v>
      </c>
      <c r="C2634" s="30">
        <v>45</v>
      </c>
      <c r="D2634" s="101" t="s">
        <v>2303</v>
      </c>
      <c r="E2634" s="183"/>
      <c r="F2634" s="99">
        <v>1.65</v>
      </c>
    </row>
    <row r="2635" spans="2:6" x14ac:dyDescent="0.2">
      <c r="B2635" s="101" t="s">
        <v>64</v>
      </c>
      <c r="C2635" s="30">
        <v>45</v>
      </c>
      <c r="D2635" s="101" t="s">
        <v>2304</v>
      </c>
      <c r="E2635" s="183"/>
      <c r="F2635" s="99" t="s">
        <v>2305</v>
      </c>
    </row>
    <row r="2636" spans="2:6" x14ac:dyDescent="0.2">
      <c r="B2636" s="101" t="s">
        <v>64</v>
      </c>
      <c r="C2636" s="30">
        <v>45</v>
      </c>
      <c r="D2636" s="101" t="s">
        <v>2306</v>
      </c>
      <c r="E2636" s="183"/>
      <c r="F2636" s="99">
        <v>5.39</v>
      </c>
    </row>
    <row r="2637" spans="2:6" x14ac:dyDescent="0.2">
      <c r="B2637" s="101" t="s">
        <v>64</v>
      </c>
      <c r="C2637" s="30">
        <v>45</v>
      </c>
      <c r="D2637" s="101">
        <v>1100</v>
      </c>
      <c r="E2637" s="183"/>
      <c r="F2637" s="99">
        <v>15</v>
      </c>
    </row>
    <row r="2638" spans="2:6" x14ac:dyDescent="0.2">
      <c r="B2638" s="101" t="s">
        <v>64</v>
      </c>
      <c r="C2638" s="30">
        <v>45</v>
      </c>
      <c r="D2638" s="101">
        <v>1150</v>
      </c>
      <c r="E2638" s="183"/>
      <c r="F2638" s="99">
        <v>15</v>
      </c>
    </row>
    <row r="2639" spans="2:6" x14ac:dyDescent="0.2">
      <c r="B2639" s="101" t="s">
        <v>64</v>
      </c>
      <c r="C2639" s="30">
        <v>45</v>
      </c>
      <c r="D2639" s="101" t="s">
        <v>2330</v>
      </c>
      <c r="E2639" s="183"/>
      <c r="F2639" s="99"/>
    </row>
    <row r="2640" spans="2:6" x14ac:dyDescent="0.2">
      <c r="B2640" s="101" t="s">
        <v>64</v>
      </c>
      <c r="C2640" s="30">
        <v>45</v>
      </c>
      <c r="D2640" s="101">
        <v>1180</v>
      </c>
      <c r="E2640" s="183"/>
      <c r="F2640" s="99">
        <v>1.8</v>
      </c>
    </row>
    <row r="2641" spans="2:6" x14ac:dyDescent="0.2">
      <c r="B2641" s="101" t="s">
        <v>64</v>
      </c>
      <c r="C2641" s="30">
        <v>45</v>
      </c>
      <c r="D2641" s="101">
        <v>1180</v>
      </c>
      <c r="E2641" s="183"/>
      <c r="F2641" s="99">
        <v>1.85</v>
      </c>
    </row>
    <row r="2642" spans="2:6" x14ac:dyDescent="0.2">
      <c r="B2642" s="101" t="s">
        <v>64</v>
      </c>
      <c r="C2642" s="30">
        <v>45</v>
      </c>
      <c r="D2642" s="101">
        <v>1200</v>
      </c>
      <c r="E2642" s="183"/>
      <c r="F2642" s="99">
        <f>2.15+2.3+2.22+2.41+2.34+2.33+2.28+2.32+2.2</f>
        <v>20.55</v>
      </c>
    </row>
    <row r="2643" spans="2:6" x14ac:dyDescent="0.2">
      <c r="B2643" s="101" t="s">
        <v>64</v>
      </c>
      <c r="C2643" s="30">
        <v>45</v>
      </c>
      <c r="D2643" s="101">
        <v>1200</v>
      </c>
      <c r="E2643" s="183"/>
      <c r="F2643" s="99">
        <v>2.17</v>
      </c>
    </row>
    <row r="2644" spans="2:6" x14ac:dyDescent="0.2">
      <c r="B2644" s="101" t="s">
        <v>64</v>
      </c>
      <c r="C2644" s="30">
        <v>45</v>
      </c>
      <c r="D2644" s="101">
        <v>1200</v>
      </c>
      <c r="E2644" s="183"/>
      <c r="F2644" s="99">
        <f>1.81+1.84+1.88+1.96</f>
        <v>7.49</v>
      </c>
    </row>
    <row r="2645" spans="2:6" x14ac:dyDescent="0.2">
      <c r="B2645" s="101" t="s">
        <v>64</v>
      </c>
      <c r="C2645" s="30">
        <v>45</v>
      </c>
      <c r="D2645" s="101" t="s">
        <v>2343</v>
      </c>
      <c r="E2645" s="183"/>
      <c r="F2645" s="99">
        <v>3.07</v>
      </c>
    </row>
    <row r="2646" spans="2:6" x14ac:dyDescent="0.2">
      <c r="B2646" s="101" t="s">
        <v>64</v>
      </c>
      <c r="C2646" s="30">
        <v>45</v>
      </c>
      <c r="D2646" s="101" t="s">
        <v>2344</v>
      </c>
      <c r="E2646" s="183"/>
      <c r="F2646" s="99">
        <v>0.8</v>
      </c>
    </row>
    <row r="2647" spans="2:6" x14ac:dyDescent="0.2">
      <c r="B2647" s="101" t="s">
        <v>64</v>
      </c>
      <c r="C2647" s="30">
        <v>45</v>
      </c>
      <c r="D2647" s="101">
        <v>1220</v>
      </c>
      <c r="E2647" s="183"/>
      <c r="F2647" s="99"/>
    </row>
    <row r="2648" spans="2:6" x14ac:dyDescent="0.2">
      <c r="B2648" s="101" t="s">
        <v>64</v>
      </c>
      <c r="C2648" s="30">
        <v>45</v>
      </c>
      <c r="D2648" s="101" t="s">
        <v>2348</v>
      </c>
      <c r="E2648" s="183"/>
      <c r="F2648" s="99">
        <v>0.72</v>
      </c>
    </row>
    <row r="2649" spans="2:6" x14ac:dyDescent="0.2">
      <c r="B2649" s="101" t="s">
        <v>64</v>
      </c>
      <c r="C2649" s="30">
        <v>45</v>
      </c>
      <c r="D2649" s="101">
        <v>1230</v>
      </c>
      <c r="E2649" s="183"/>
      <c r="F2649" s="99">
        <v>2.54</v>
      </c>
    </row>
    <row r="2650" spans="2:6" x14ac:dyDescent="0.2">
      <c r="B2650" s="101" t="s">
        <v>64</v>
      </c>
      <c r="C2650" s="30">
        <v>45</v>
      </c>
      <c r="D2650" s="101">
        <v>1240</v>
      </c>
      <c r="E2650" s="183"/>
      <c r="F2650" s="99">
        <v>3.93</v>
      </c>
    </row>
    <row r="2651" spans="2:6" x14ac:dyDescent="0.2">
      <c r="B2651" s="101" t="s">
        <v>64</v>
      </c>
      <c r="C2651" s="30">
        <v>45</v>
      </c>
      <c r="D2651" s="101">
        <v>1250</v>
      </c>
      <c r="E2651" s="183"/>
      <c r="F2651" s="99">
        <f>2.63+2.59</f>
        <v>5.22</v>
      </c>
    </row>
    <row r="2652" spans="2:6" x14ac:dyDescent="0.2">
      <c r="B2652" s="101" t="s">
        <v>64</v>
      </c>
      <c r="C2652" s="30">
        <v>45</v>
      </c>
      <c r="D2652" s="101">
        <v>1260</v>
      </c>
      <c r="E2652" s="183"/>
      <c r="F2652" s="99">
        <v>2.67</v>
      </c>
    </row>
    <row r="2653" spans="2:6" x14ac:dyDescent="0.2">
      <c r="B2653" s="101" t="s">
        <v>64</v>
      </c>
      <c r="C2653" s="30">
        <v>45</v>
      </c>
      <c r="D2653" s="101" t="s">
        <v>2367</v>
      </c>
      <c r="E2653" s="183"/>
      <c r="F2653" s="99">
        <v>6.7</v>
      </c>
    </row>
    <row r="2654" spans="2:6" x14ac:dyDescent="0.2">
      <c r="B2654" s="101" t="s">
        <v>64</v>
      </c>
      <c r="C2654" s="30">
        <v>45</v>
      </c>
      <c r="D2654" s="101">
        <v>1320</v>
      </c>
      <c r="E2654" s="183"/>
      <c r="F2654" s="99">
        <f>6.25</f>
        <v>6.25</v>
      </c>
    </row>
    <row r="2655" spans="2:6" x14ac:dyDescent="0.2">
      <c r="B2655" s="101" t="s">
        <v>64</v>
      </c>
      <c r="C2655" s="30">
        <v>45</v>
      </c>
      <c r="D2655" s="101" t="s">
        <v>2371</v>
      </c>
      <c r="E2655" s="183"/>
      <c r="F2655" s="99">
        <v>1.64</v>
      </c>
    </row>
    <row r="2656" spans="2:6" x14ac:dyDescent="0.2">
      <c r="B2656" s="101" t="s">
        <v>64</v>
      </c>
      <c r="C2656" s="30">
        <v>45</v>
      </c>
      <c r="D2656" s="101" t="s">
        <v>2378</v>
      </c>
      <c r="E2656" s="183"/>
      <c r="F2656" s="99">
        <v>1.9</v>
      </c>
    </row>
    <row r="2657" spans="2:6" x14ac:dyDescent="0.2">
      <c r="B2657" s="101" t="s">
        <v>64</v>
      </c>
      <c r="C2657" s="30">
        <v>45</v>
      </c>
      <c r="D2657" s="101" t="s">
        <v>2379</v>
      </c>
      <c r="E2657" s="183"/>
      <c r="F2657" s="99">
        <v>2.2000000000000002</v>
      </c>
    </row>
    <row r="2658" spans="2:6" x14ac:dyDescent="0.2">
      <c r="B2658" s="101" t="s">
        <v>64</v>
      </c>
      <c r="C2658" s="30">
        <v>45</v>
      </c>
      <c r="D2658" s="101" t="s">
        <v>2380</v>
      </c>
      <c r="E2658" s="183"/>
      <c r="F2658" s="99">
        <v>2.1800000000000002</v>
      </c>
    </row>
    <row r="2659" spans="2:6" x14ac:dyDescent="0.2">
      <c r="B2659" s="78" t="s">
        <v>64</v>
      </c>
      <c r="C2659" s="174">
        <v>50</v>
      </c>
      <c r="D2659" s="2" t="s">
        <v>71</v>
      </c>
      <c r="E2659" s="77"/>
      <c r="F2659" s="39">
        <v>0.56000000000000005</v>
      </c>
    </row>
    <row r="2660" spans="2:6" x14ac:dyDescent="0.2">
      <c r="B2660" s="78" t="s">
        <v>64</v>
      </c>
      <c r="C2660" s="174">
        <v>50</v>
      </c>
      <c r="D2660" s="2" t="s">
        <v>74</v>
      </c>
      <c r="E2660" s="77"/>
      <c r="F2660" s="39">
        <v>0.85</v>
      </c>
    </row>
    <row r="2661" spans="2:6" x14ac:dyDescent="0.2">
      <c r="B2661" s="78" t="s">
        <v>64</v>
      </c>
      <c r="C2661" s="174">
        <v>50</v>
      </c>
      <c r="D2661" s="2" t="s">
        <v>75</v>
      </c>
      <c r="E2661" s="77"/>
      <c r="F2661" s="39">
        <v>0.3</v>
      </c>
    </row>
    <row r="2662" spans="2:6" x14ac:dyDescent="0.2">
      <c r="B2662" s="101" t="s">
        <v>64</v>
      </c>
      <c r="C2662" s="30">
        <v>50</v>
      </c>
      <c r="D2662" s="101">
        <v>390</v>
      </c>
      <c r="E2662" s="183"/>
      <c r="F2662" s="99">
        <v>2.35</v>
      </c>
    </row>
    <row r="2663" spans="2:6" x14ac:dyDescent="0.2">
      <c r="B2663" s="101" t="s">
        <v>64</v>
      </c>
      <c r="C2663" s="30">
        <v>50</v>
      </c>
      <c r="D2663" s="101" t="s">
        <v>1683</v>
      </c>
      <c r="E2663" s="183"/>
      <c r="F2663" s="99">
        <v>0.94</v>
      </c>
    </row>
    <row r="2664" spans="2:6" x14ac:dyDescent="0.2">
      <c r="B2664" s="101" t="s">
        <v>64</v>
      </c>
      <c r="C2664" s="30">
        <v>50</v>
      </c>
      <c r="D2664" s="101">
        <v>400</v>
      </c>
      <c r="E2664" s="183"/>
      <c r="F2664" s="99">
        <f>0.665+2.06-2.06</f>
        <v>0.66500000000000004</v>
      </c>
    </row>
    <row r="2665" spans="2:6" x14ac:dyDescent="0.2">
      <c r="B2665" s="101" t="s">
        <v>64</v>
      </c>
      <c r="C2665" s="30">
        <v>50</v>
      </c>
      <c r="D2665" s="101" t="s">
        <v>1830</v>
      </c>
      <c r="E2665" s="183"/>
      <c r="F2665" s="99">
        <v>0.28000000000000003</v>
      </c>
    </row>
    <row r="2666" spans="2:6" x14ac:dyDescent="0.2">
      <c r="B2666" s="101" t="s">
        <v>64</v>
      </c>
      <c r="C2666" s="30">
        <v>50</v>
      </c>
      <c r="D2666" s="101">
        <v>420</v>
      </c>
      <c r="E2666" s="25"/>
      <c r="F2666" s="99">
        <f>6.36-3.18</f>
        <v>3.18</v>
      </c>
    </row>
    <row r="2667" spans="2:6" x14ac:dyDescent="0.2">
      <c r="B2667" s="101" t="s">
        <v>64</v>
      </c>
      <c r="C2667" s="30">
        <v>50</v>
      </c>
      <c r="D2667" s="101">
        <v>420</v>
      </c>
      <c r="E2667" s="25"/>
      <c r="F2667" s="99">
        <f>13.22-3.35</f>
        <v>9.870000000000001</v>
      </c>
    </row>
    <row r="2668" spans="2:6" x14ac:dyDescent="0.2">
      <c r="B2668" s="101" t="s">
        <v>64</v>
      </c>
      <c r="C2668" s="30">
        <v>50</v>
      </c>
      <c r="D2668" s="101">
        <v>420</v>
      </c>
      <c r="E2668" s="25"/>
      <c r="F2668" s="99">
        <v>1.43</v>
      </c>
    </row>
    <row r="2669" spans="2:6" x14ac:dyDescent="0.2">
      <c r="B2669" s="101" t="s">
        <v>64</v>
      </c>
      <c r="C2669" s="30">
        <v>50</v>
      </c>
      <c r="D2669" s="101" t="s">
        <v>1842</v>
      </c>
      <c r="E2669" s="183"/>
      <c r="F2669" s="99">
        <f>13.31-6.71</f>
        <v>6.6000000000000005</v>
      </c>
    </row>
    <row r="2670" spans="2:6" x14ac:dyDescent="0.2">
      <c r="B2670" s="101" t="s">
        <v>64</v>
      </c>
      <c r="C2670" s="30">
        <v>50</v>
      </c>
      <c r="D2670" s="101">
        <v>430</v>
      </c>
      <c r="E2670" s="183"/>
      <c r="F2670" s="99">
        <f>14.64-4.26-3.5-1.68</f>
        <v>5.2000000000000011</v>
      </c>
    </row>
    <row r="2671" spans="2:6" x14ac:dyDescent="0.2">
      <c r="B2671" s="101" t="s">
        <v>64</v>
      </c>
      <c r="C2671" s="30">
        <v>50</v>
      </c>
      <c r="D2671" s="101">
        <v>430</v>
      </c>
      <c r="E2671" s="183"/>
      <c r="F2671" s="99">
        <v>0.89</v>
      </c>
    </row>
    <row r="2672" spans="2:6" x14ac:dyDescent="0.2">
      <c r="B2672" s="101" t="s">
        <v>64</v>
      </c>
      <c r="C2672" s="30">
        <v>50</v>
      </c>
      <c r="D2672" s="101">
        <v>430</v>
      </c>
      <c r="E2672" s="183"/>
      <c r="F2672" s="99">
        <v>0.51</v>
      </c>
    </row>
    <row r="2673" spans="2:6" x14ac:dyDescent="0.2">
      <c r="B2673" s="101" t="s">
        <v>64</v>
      </c>
      <c r="C2673" s="30">
        <v>50</v>
      </c>
      <c r="D2673" s="101">
        <v>430</v>
      </c>
      <c r="E2673" s="183"/>
      <c r="F2673" s="99">
        <v>0.44</v>
      </c>
    </row>
    <row r="2674" spans="2:6" x14ac:dyDescent="0.2">
      <c r="B2674" s="101" t="s">
        <v>64</v>
      </c>
      <c r="C2674" s="30">
        <v>50</v>
      </c>
      <c r="D2674" s="101">
        <v>480</v>
      </c>
      <c r="E2674" s="183"/>
      <c r="F2674" s="99">
        <v>4.12</v>
      </c>
    </row>
    <row r="2675" spans="2:6" x14ac:dyDescent="0.2">
      <c r="B2675" s="101" t="s">
        <v>64</v>
      </c>
      <c r="C2675" s="30">
        <v>50</v>
      </c>
      <c r="D2675" s="101">
        <v>480</v>
      </c>
      <c r="E2675" s="183"/>
      <c r="F2675" s="99">
        <v>0.55000000000000004</v>
      </c>
    </row>
    <row r="2676" spans="2:6" x14ac:dyDescent="0.2">
      <c r="B2676" s="101" t="s">
        <v>64</v>
      </c>
      <c r="C2676" s="30">
        <v>50</v>
      </c>
      <c r="D2676" s="101" t="s">
        <v>2573</v>
      </c>
      <c r="E2676" s="183"/>
      <c r="F2676" s="99">
        <v>0.31</v>
      </c>
    </row>
    <row r="2677" spans="2:6" x14ac:dyDescent="0.2">
      <c r="B2677" s="101" t="s">
        <v>64</v>
      </c>
      <c r="C2677" s="30">
        <v>50</v>
      </c>
      <c r="D2677" s="101" t="s">
        <v>2120</v>
      </c>
      <c r="E2677" s="25"/>
      <c r="F2677" s="99">
        <v>1.73</v>
      </c>
    </row>
    <row r="2678" spans="2:6" x14ac:dyDescent="0.2">
      <c r="B2678" s="101" t="s">
        <v>64</v>
      </c>
      <c r="C2678" s="30">
        <v>50</v>
      </c>
      <c r="D2678" s="101" t="s">
        <v>2121</v>
      </c>
      <c r="E2678" s="25"/>
      <c r="F2678" s="99"/>
    </row>
    <row r="2679" spans="2:6" x14ac:dyDescent="0.2">
      <c r="B2679" s="101" t="s">
        <v>64</v>
      </c>
      <c r="C2679" s="30">
        <v>50</v>
      </c>
      <c r="D2679" s="101" t="s">
        <v>2231</v>
      </c>
      <c r="E2679" s="183"/>
      <c r="F2679" s="99">
        <v>1.23</v>
      </c>
    </row>
    <row r="2680" spans="2:6" x14ac:dyDescent="0.2">
      <c r="B2680" s="101" t="s">
        <v>64</v>
      </c>
      <c r="C2680" s="30">
        <v>50</v>
      </c>
      <c r="D2680" s="101" t="s">
        <v>2360</v>
      </c>
      <c r="E2680" s="183"/>
      <c r="F2680" s="99">
        <v>1.25</v>
      </c>
    </row>
    <row r="2681" spans="2:6" x14ac:dyDescent="0.2">
      <c r="B2681" s="101" t="s">
        <v>64</v>
      </c>
      <c r="C2681" s="30">
        <v>50</v>
      </c>
      <c r="D2681" s="101" t="s">
        <v>2362</v>
      </c>
      <c r="E2681" s="183"/>
      <c r="F2681" s="99">
        <v>2</v>
      </c>
    </row>
    <row r="2682" spans="2:6" x14ac:dyDescent="0.2">
      <c r="B2682" s="101" t="s">
        <v>64</v>
      </c>
      <c r="C2682" s="30">
        <v>60</v>
      </c>
      <c r="D2682" s="101" t="s">
        <v>2540</v>
      </c>
      <c r="E2682" s="183"/>
      <c r="F2682" s="99">
        <v>0.6</v>
      </c>
    </row>
    <row r="2683" spans="2:6" x14ac:dyDescent="0.2">
      <c r="B2683" s="101" t="s">
        <v>64</v>
      </c>
      <c r="C2683" s="30">
        <v>60</v>
      </c>
      <c r="D2683" s="101">
        <v>870</v>
      </c>
      <c r="E2683" s="183"/>
      <c r="F2683" s="99">
        <v>0.63</v>
      </c>
    </row>
    <row r="2684" spans="2:6" x14ac:dyDescent="0.2">
      <c r="B2684" s="101" t="s">
        <v>64</v>
      </c>
      <c r="C2684" s="30">
        <v>60</v>
      </c>
      <c r="D2684" s="101" t="s">
        <v>2239</v>
      </c>
      <c r="E2684" s="183"/>
      <c r="F2684" s="99">
        <v>1.28</v>
      </c>
    </row>
    <row r="2685" spans="2:6" x14ac:dyDescent="0.2">
      <c r="B2685" s="101" t="s">
        <v>64</v>
      </c>
      <c r="C2685" s="30">
        <v>60</v>
      </c>
      <c r="D2685" s="101" t="s">
        <v>2311</v>
      </c>
      <c r="E2685" s="183"/>
      <c r="F2685" s="99">
        <v>1.41</v>
      </c>
    </row>
    <row r="2686" spans="2:6" x14ac:dyDescent="0.2">
      <c r="B2686" s="101" t="s">
        <v>64</v>
      </c>
      <c r="C2686" s="30">
        <v>65</v>
      </c>
      <c r="D2686" s="101" t="s">
        <v>1772</v>
      </c>
      <c r="E2686" s="183"/>
      <c r="F2686" s="99">
        <v>1.05</v>
      </c>
    </row>
    <row r="2687" spans="2:6" x14ac:dyDescent="0.2">
      <c r="B2687" s="101" t="s">
        <v>64</v>
      </c>
      <c r="C2687" s="30">
        <v>65</v>
      </c>
      <c r="D2687" s="101" t="s">
        <v>1776</v>
      </c>
      <c r="E2687" s="25"/>
      <c r="F2687" s="99">
        <v>1.47</v>
      </c>
    </row>
    <row r="2688" spans="2:6" x14ac:dyDescent="0.2">
      <c r="B2688" s="101" t="s">
        <v>64</v>
      </c>
      <c r="C2688" s="30" t="s">
        <v>210</v>
      </c>
      <c r="D2688" s="101">
        <v>360</v>
      </c>
      <c r="E2688" s="183"/>
      <c r="F2688" s="99">
        <f>0.17+4.98</f>
        <v>5.15</v>
      </c>
    </row>
    <row r="2689" spans="2:6" x14ac:dyDescent="0.2">
      <c r="B2689" s="101" t="s">
        <v>64</v>
      </c>
      <c r="C2689" s="30" t="s">
        <v>210</v>
      </c>
      <c r="D2689" s="101">
        <v>360</v>
      </c>
      <c r="E2689" s="183"/>
      <c r="F2689" s="99">
        <v>2.04</v>
      </c>
    </row>
    <row r="2690" spans="2:6" x14ac:dyDescent="0.2">
      <c r="B2690" s="101" t="s">
        <v>64</v>
      </c>
      <c r="C2690" s="30" t="s">
        <v>210</v>
      </c>
      <c r="D2690" s="101">
        <v>380</v>
      </c>
      <c r="E2690" s="183"/>
      <c r="F2690" s="99">
        <f>4.73+3.67</f>
        <v>8.4</v>
      </c>
    </row>
    <row r="2691" spans="2:6" x14ac:dyDescent="0.2">
      <c r="B2691" s="101" t="s">
        <v>64</v>
      </c>
      <c r="C2691" s="30" t="s">
        <v>210</v>
      </c>
      <c r="D2691" s="101">
        <v>380</v>
      </c>
      <c r="E2691" s="183"/>
      <c r="F2691" s="99">
        <f>0.12+4.6-0.12</f>
        <v>4.5999999999999996</v>
      </c>
    </row>
    <row r="2692" spans="2:6" x14ac:dyDescent="0.2">
      <c r="B2692" s="101" t="s">
        <v>64</v>
      </c>
      <c r="C2692" s="30" t="s">
        <v>210</v>
      </c>
      <c r="D2692" s="101">
        <v>400</v>
      </c>
      <c r="E2692" s="183"/>
      <c r="F2692" s="99">
        <v>6.2</v>
      </c>
    </row>
    <row r="2693" spans="2:6" x14ac:dyDescent="0.2">
      <c r="B2693" s="101" t="s">
        <v>64</v>
      </c>
      <c r="C2693" s="30" t="s">
        <v>210</v>
      </c>
      <c r="D2693" s="101">
        <v>400</v>
      </c>
      <c r="E2693" s="183"/>
      <c r="F2693" s="99">
        <v>6.09</v>
      </c>
    </row>
    <row r="2694" spans="2:6" x14ac:dyDescent="0.2">
      <c r="B2694" s="101" t="s">
        <v>64</v>
      </c>
      <c r="C2694" s="30" t="s">
        <v>210</v>
      </c>
      <c r="D2694" s="101">
        <v>400</v>
      </c>
      <c r="E2694" s="183"/>
      <c r="F2694" s="99">
        <v>1.58</v>
      </c>
    </row>
    <row r="2695" spans="2:6" x14ac:dyDescent="0.2">
      <c r="B2695" s="101" t="s">
        <v>64</v>
      </c>
      <c r="C2695" s="30" t="s">
        <v>210</v>
      </c>
      <c r="D2695" s="101">
        <v>400</v>
      </c>
      <c r="E2695" s="183"/>
      <c r="F2695" s="99">
        <v>0.09</v>
      </c>
    </row>
    <row r="2696" spans="2:6" x14ac:dyDescent="0.2">
      <c r="B2696" s="101" t="s">
        <v>64</v>
      </c>
      <c r="C2696" s="30" t="s">
        <v>210</v>
      </c>
      <c r="D2696" s="101">
        <v>410</v>
      </c>
      <c r="E2696" s="183"/>
      <c r="F2696" s="99">
        <v>1.54</v>
      </c>
    </row>
    <row r="2697" spans="2:6" x14ac:dyDescent="0.2">
      <c r="B2697" s="101" t="s">
        <v>64</v>
      </c>
      <c r="C2697" s="30" t="s">
        <v>210</v>
      </c>
      <c r="D2697" s="101">
        <v>420</v>
      </c>
      <c r="E2697" s="183"/>
      <c r="F2697" s="99">
        <v>5.82</v>
      </c>
    </row>
    <row r="2698" spans="2:6" x14ac:dyDescent="0.2">
      <c r="B2698" s="101" t="s">
        <v>64</v>
      </c>
      <c r="C2698" s="30" t="s">
        <v>210</v>
      </c>
      <c r="D2698" s="101">
        <v>420</v>
      </c>
      <c r="E2698" s="183"/>
      <c r="F2698" s="99">
        <v>4.72</v>
      </c>
    </row>
    <row r="2699" spans="2:6" x14ac:dyDescent="0.2">
      <c r="B2699" s="101" t="s">
        <v>64</v>
      </c>
      <c r="C2699" s="30" t="s">
        <v>210</v>
      </c>
      <c r="D2699" s="101">
        <v>420</v>
      </c>
      <c r="E2699" s="183"/>
      <c r="F2699" s="99">
        <v>0.91</v>
      </c>
    </row>
    <row r="2700" spans="2:6" x14ac:dyDescent="0.2">
      <c r="B2700" s="101" t="s">
        <v>64</v>
      </c>
      <c r="C2700" s="30" t="s">
        <v>210</v>
      </c>
      <c r="D2700" s="101">
        <v>420</v>
      </c>
      <c r="E2700" s="183"/>
      <c r="F2700" s="99">
        <v>0.45</v>
      </c>
    </row>
    <row r="2701" spans="2:6" x14ac:dyDescent="0.2">
      <c r="B2701" s="101" t="s">
        <v>64</v>
      </c>
      <c r="C2701" s="30" t="s">
        <v>210</v>
      </c>
      <c r="D2701" s="101">
        <v>430</v>
      </c>
      <c r="E2701" s="183"/>
      <c r="F2701" s="99">
        <f>6.38+3.96</f>
        <v>10.34</v>
      </c>
    </row>
    <row r="2702" spans="2:6" x14ac:dyDescent="0.2">
      <c r="B2702" s="101" t="s">
        <v>64</v>
      </c>
      <c r="C2702" s="30" t="s">
        <v>210</v>
      </c>
      <c r="D2702" s="101" t="s">
        <v>1841</v>
      </c>
      <c r="E2702" s="183"/>
      <c r="F2702" s="99">
        <v>3.8</v>
      </c>
    </row>
    <row r="2703" spans="2:6" x14ac:dyDescent="0.2">
      <c r="B2703" s="101" t="s">
        <v>64</v>
      </c>
      <c r="C2703" s="30" t="s">
        <v>210</v>
      </c>
      <c r="D2703" s="101">
        <v>440</v>
      </c>
      <c r="E2703" s="183"/>
      <c r="F2703" s="99">
        <f>6.8+6.7</f>
        <v>13.5</v>
      </c>
    </row>
    <row r="2704" spans="2:6" x14ac:dyDescent="0.2">
      <c r="B2704" s="101" t="s">
        <v>64</v>
      </c>
      <c r="C2704" s="30" t="s">
        <v>210</v>
      </c>
      <c r="D2704" s="101">
        <v>440</v>
      </c>
      <c r="E2704" s="183"/>
      <c r="F2704" s="99">
        <v>6.69</v>
      </c>
    </row>
    <row r="2705" spans="2:6" x14ac:dyDescent="0.2">
      <c r="B2705" s="101" t="s">
        <v>64</v>
      </c>
      <c r="C2705" s="30" t="s">
        <v>210</v>
      </c>
      <c r="D2705" s="101">
        <v>440</v>
      </c>
      <c r="E2705" s="183"/>
      <c r="F2705" s="99">
        <f>2.5+0.13</f>
        <v>2.63</v>
      </c>
    </row>
    <row r="2706" spans="2:6" x14ac:dyDescent="0.2">
      <c r="B2706" s="101" t="s">
        <v>64</v>
      </c>
      <c r="C2706" s="30" t="s">
        <v>210</v>
      </c>
      <c r="D2706" s="101">
        <v>445</v>
      </c>
      <c r="E2706" s="183"/>
      <c r="F2706" s="99"/>
    </row>
    <row r="2707" spans="2:6" x14ac:dyDescent="0.2">
      <c r="B2707" s="101" t="s">
        <v>64</v>
      </c>
      <c r="C2707" s="30" t="s">
        <v>210</v>
      </c>
      <c r="D2707" s="101">
        <v>450</v>
      </c>
      <c r="E2707" s="183"/>
      <c r="F2707" s="99">
        <f>7.22+5.86</f>
        <v>13.08</v>
      </c>
    </row>
    <row r="2708" spans="2:6" x14ac:dyDescent="0.2">
      <c r="B2708" s="101" t="s">
        <v>64</v>
      </c>
      <c r="C2708" s="30" t="s">
        <v>210</v>
      </c>
      <c r="D2708" s="101">
        <v>450</v>
      </c>
      <c r="E2708" s="183"/>
      <c r="F2708" s="99">
        <v>1.62</v>
      </c>
    </row>
    <row r="2709" spans="2:6" x14ac:dyDescent="0.2">
      <c r="B2709" s="101" t="s">
        <v>64</v>
      </c>
      <c r="C2709" s="30" t="s">
        <v>210</v>
      </c>
      <c r="D2709" s="101">
        <v>460</v>
      </c>
      <c r="E2709" s="25"/>
      <c r="F2709" s="99">
        <v>5.85</v>
      </c>
    </row>
    <row r="2710" spans="2:6" x14ac:dyDescent="0.2">
      <c r="B2710" s="101" t="s">
        <v>64</v>
      </c>
      <c r="C2710" s="30" t="s">
        <v>210</v>
      </c>
      <c r="D2710" s="101">
        <v>460</v>
      </c>
      <c r="E2710" s="25"/>
      <c r="F2710" s="99">
        <v>7.64</v>
      </c>
    </row>
    <row r="2711" spans="2:6" x14ac:dyDescent="0.2">
      <c r="B2711" s="101" t="s">
        <v>64</v>
      </c>
      <c r="C2711" s="30" t="s">
        <v>210</v>
      </c>
      <c r="D2711" s="101">
        <v>460</v>
      </c>
      <c r="E2711" s="25"/>
      <c r="F2711" s="99">
        <v>7.44</v>
      </c>
    </row>
    <row r="2712" spans="2:6" x14ac:dyDescent="0.2">
      <c r="B2712" s="101" t="s">
        <v>64</v>
      </c>
      <c r="C2712" s="30" t="s">
        <v>210</v>
      </c>
      <c r="D2712" s="101">
        <v>460</v>
      </c>
      <c r="E2712" s="25"/>
      <c r="F2712" s="99">
        <v>0.89</v>
      </c>
    </row>
    <row r="2713" spans="2:6" x14ac:dyDescent="0.2">
      <c r="B2713" s="101" t="s">
        <v>64</v>
      </c>
      <c r="C2713" s="30" t="s">
        <v>210</v>
      </c>
      <c r="D2713" s="101">
        <v>470</v>
      </c>
      <c r="E2713" s="183"/>
      <c r="F2713" s="99">
        <v>7.6</v>
      </c>
    </row>
    <row r="2714" spans="2:6" x14ac:dyDescent="0.2">
      <c r="B2714" s="101" t="s">
        <v>64</v>
      </c>
      <c r="C2714" s="30" t="s">
        <v>210</v>
      </c>
      <c r="D2714" s="101">
        <v>480</v>
      </c>
      <c r="E2714" s="183"/>
      <c r="F2714" s="99">
        <f>5.64+7.3</f>
        <v>12.94</v>
      </c>
    </row>
    <row r="2715" spans="2:6" x14ac:dyDescent="0.2">
      <c r="B2715" s="101" t="s">
        <v>64</v>
      </c>
      <c r="C2715" s="30" t="s">
        <v>210</v>
      </c>
      <c r="D2715" s="101">
        <v>480</v>
      </c>
      <c r="E2715" s="183"/>
      <c r="F2715" s="99">
        <v>7.47</v>
      </c>
    </row>
    <row r="2716" spans="2:6" x14ac:dyDescent="0.2">
      <c r="B2716" s="101" t="s">
        <v>64</v>
      </c>
      <c r="C2716" s="30" t="s">
        <v>210</v>
      </c>
      <c r="D2716" s="101">
        <v>480</v>
      </c>
      <c r="E2716" s="183"/>
      <c r="F2716" s="99">
        <v>7.34</v>
      </c>
    </row>
    <row r="2717" spans="2:6" x14ac:dyDescent="0.2">
      <c r="B2717" s="101" t="s">
        <v>64</v>
      </c>
      <c r="C2717" s="30" t="s">
        <v>210</v>
      </c>
      <c r="D2717" s="101">
        <v>480</v>
      </c>
      <c r="E2717" s="183"/>
      <c r="F2717" s="99">
        <f>6.78+0.83</f>
        <v>7.61</v>
      </c>
    </row>
    <row r="2718" spans="2:6" x14ac:dyDescent="0.2">
      <c r="B2718" s="101" t="s">
        <v>64</v>
      </c>
      <c r="C2718" s="30" t="s">
        <v>210</v>
      </c>
      <c r="D2718" s="101">
        <v>490</v>
      </c>
      <c r="E2718" s="25"/>
      <c r="F2718" s="99">
        <v>7.25</v>
      </c>
    </row>
    <row r="2719" spans="2:6" x14ac:dyDescent="0.2">
      <c r="B2719" s="101" t="s">
        <v>64</v>
      </c>
      <c r="C2719" s="30" t="s">
        <v>210</v>
      </c>
      <c r="D2719" s="101">
        <v>500</v>
      </c>
      <c r="E2719" s="183"/>
      <c r="F2719" s="99">
        <v>5.98</v>
      </c>
    </row>
    <row r="2720" spans="2:6" x14ac:dyDescent="0.2">
      <c r="B2720" s="101" t="s">
        <v>64</v>
      </c>
      <c r="C2720" s="30" t="s">
        <v>210</v>
      </c>
      <c r="D2720" s="101">
        <v>500</v>
      </c>
      <c r="E2720" s="183"/>
      <c r="F2720" s="99">
        <v>4.6399999999999997</v>
      </c>
    </row>
    <row r="2721" spans="2:6" x14ac:dyDescent="0.2">
      <c r="B2721" s="101" t="s">
        <v>64</v>
      </c>
      <c r="C2721" s="30" t="s">
        <v>210</v>
      </c>
      <c r="D2721" s="101">
        <v>500</v>
      </c>
      <c r="E2721" s="183"/>
      <c r="F2721" s="99">
        <f>0.38+0.27+0.18</f>
        <v>0.83000000000000007</v>
      </c>
    </row>
    <row r="2722" spans="2:6" x14ac:dyDescent="0.2">
      <c r="B2722" s="101" t="s">
        <v>64</v>
      </c>
      <c r="C2722" s="30" t="s">
        <v>210</v>
      </c>
      <c r="D2722" s="101">
        <v>510</v>
      </c>
      <c r="E2722" s="183"/>
      <c r="F2722" s="99"/>
    </row>
    <row r="2723" spans="2:6" x14ac:dyDescent="0.2">
      <c r="B2723" s="101" t="s">
        <v>64</v>
      </c>
      <c r="C2723" s="30" t="s">
        <v>210</v>
      </c>
      <c r="D2723" s="101">
        <v>510</v>
      </c>
      <c r="E2723" s="183"/>
      <c r="F2723" s="99">
        <v>0.14000000000000001</v>
      </c>
    </row>
    <row r="2724" spans="2:6" x14ac:dyDescent="0.2">
      <c r="B2724" s="101" t="s">
        <v>64</v>
      </c>
      <c r="C2724" s="30" t="s">
        <v>210</v>
      </c>
      <c r="D2724" s="101">
        <v>520</v>
      </c>
      <c r="E2724" s="183"/>
      <c r="F2724" s="99">
        <v>3.25</v>
      </c>
    </row>
    <row r="2725" spans="2:6" x14ac:dyDescent="0.2">
      <c r="B2725" s="101" t="s">
        <v>64</v>
      </c>
      <c r="C2725" s="30" t="s">
        <v>210</v>
      </c>
      <c r="D2725" s="101">
        <v>520</v>
      </c>
      <c r="E2725" s="183"/>
      <c r="F2725" s="99">
        <v>0.17</v>
      </c>
    </row>
    <row r="2726" spans="2:6" x14ac:dyDescent="0.2">
      <c r="B2726" s="101" t="s">
        <v>64</v>
      </c>
      <c r="C2726" s="30" t="s">
        <v>210</v>
      </c>
      <c r="D2726" s="101">
        <v>530</v>
      </c>
      <c r="E2726" s="183"/>
      <c r="F2726" s="99">
        <v>5.96</v>
      </c>
    </row>
    <row r="2727" spans="2:6" x14ac:dyDescent="0.2">
      <c r="B2727" s="101" t="s">
        <v>64</v>
      </c>
      <c r="C2727" s="30" t="s">
        <v>210</v>
      </c>
      <c r="D2727" s="101">
        <v>530</v>
      </c>
      <c r="E2727" s="183"/>
      <c r="F2727" s="99">
        <v>8.1999999999999993</v>
      </c>
    </row>
    <row r="2728" spans="2:6" x14ac:dyDescent="0.2">
      <c r="B2728" s="101" t="s">
        <v>64</v>
      </c>
      <c r="C2728" s="30" t="s">
        <v>210</v>
      </c>
      <c r="D2728" s="101">
        <v>530</v>
      </c>
      <c r="E2728" s="183"/>
      <c r="F2728" s="99">
        <v>2.7749999999999999</v>
      </c>
    </row>
    <row r="2729" spans="2:6" x14ac:dyDescent="0.2">
      <c r="B2729" s="101" t="s">
        <v>64</v>
      </c>
      <c r="C2729" s="30" t="s">
        <v>210</v>
      </c>
      <c r="D2729" s="101">
        <v>530</v>
      </c>
      <c r="E2729" s="183"/>
      <c r="F2729" s="99">
        <f>0.5+0.08</f>
        <v>0.57999999999999996</v>
      </c>
    </row>
    <row r="2730" spans="2:6" x14ac:dyDescent="0.2">
      <c r="B2730" s="101" t="s">
        <v>64</v>
      </c>
      <c r="C2730" s="30" t="s">
        <v>210</v>
      </c>
      <c r="D2730" s="101">
        <v>530</v>
      </c>
      <c r="E2730" s="183"/>
      <c r="F2730" s="99">
        <f>0.45</f>
        <v>0.45</v>
      </c>
    </row>
    <row r="2731" spans="2:6" x14ac:dyDescent="0.2">
      <c r="B2731" s="101" t="s">
        <v>64</v>
      </c>
      <c r="C2731" s="30" t="s">
        <v>210</v>
      </c>
      <c r="D2731" s="101" t="s">
        <v>1943</v>
      </c>
      <c r="E2731" s="183"/>
      <c r="F2731" s="99">
        <v>8.64</v>
      </c>
    </row>
    <row r="2732" spans="2:6" x14ac:dyDescent="0.2">
      <c r="B2732" s="101" t="s">
        <v>64</v>
      </c>
      <c r="C2732" s="30" t="s">
        <v>210</v>
      </c>
      <c r="D2732" s="101">
        <v>540</v>
      </c>
      <c r="E2732" s="183"/>
      <c r="F2732" s="99">
        <v>6.76</v>
      </c>
    </row>
    <row r="2733" spans="2:6" x14ac:dyDescent="0.2">
      <c r="B2733" s="101" t="s">
        <v>64</v>
      </c>
      <c r="C2733" s="30" t="s">
        <v>210</v>
      </c>
      <c r="D2733" s="101">
        <v>540</v>
      </c>
      <c r="E2733" s="183"/>
      <c r="F2733" s="99">
        <v>2.08</v>
      </c>
    </row>
    <row r="2734" spans="2:6" x14ac:dyDescent="0.2">
      <c r="B2734" s="101" t="s">
        <v>64</v>
      </c>
      <c r="C2734" s="30" t="s">
        <v>210</v>
      </c>
      <c r="D2734" s="101">
        <v>550</v>
      </c>
      <c r="E2734" s="183"/>
      <c r="F2734" s="99">
        <f>5.59+4.28</f>
        <v>9.870000000000001</v>
      </c>
    </row>
    <row r="2735" spans="2:6" x14ac:dyDescent="0.2">
      <c r="B2735" s="101" t="s">
        <v>64</v>
      </c>
      <c r="C2735" s="30" t="s">
        <v>210</v>
      </c>
      <c r="D2735" s="101">
        <v>550</v>
      </c>
      <c r="E2735" s="183"/>
      <c r="F2735" s="99">
        <f>0.36+6.88</f>
        <v>7.24</v>
      </c>
    </row>
    <row r="2736" spans="2:6" x14ac:dyDescent="0.2">
      <c r="B2736" s="101" t="s">
        <v>64</v>
      </c>
      <c r="C2736" s="30" t="s">
        <v>210</v>
      </c>
      <c r="D2736" s="101" t="s">
        <v>1947</v>
      </c>
      <c r="E2736" s="183"/>
      <c r="F2736" s="99">
        <v>0.42</v>
      </c>
    </row>
    <row r="2737" spans="2:6" x14ac:dyDescent="0.2">
      <c r="B2737" s="101" t="s">
        <v>64</v>
      </c>
      <c r="C2737" s="30" t="s">
        <v>210</v>
      </c>
      <c r="D2737" s="101" t="s">
        <v>1960</v>
      </c>
      <c r="E2737" s="183"/>
      <c r="F2737" s="99">
        <v>0.64</v>
      </c>
    </row>
    <row r="2738" spans="2:6" x14ac:dyDescent="0.2">
      <c r="B2738" s="101" t="s">
        <v>64</v>
      </c>
      <c r="C2738" s="30" t="s">
        <v>210</v>
      </c>
      <c r="D2738" s="101">
        <v>560</v>
      </c>
      <c r="E2738" s="183"/>
      <c r="F2738" s="99">
        <v>0.22</v>
      </c>
    </row>
    <row r="2739" spans="2:6" x14ac:dyDescent="0.2">
      <c r="B2739" s="101" t="s">
        <v>64</v>
      </c>
      <c r="C2739" s="30" t="s">
        <v>210</v>
      </c>
      <c r="D2739" s="101">
        <v>580</v>
      </c>
      <c r="E2739" s="25"/>
      <c r="F2739" s="99">
        <v>6.04</v>
      </c>
    </row>
    <row r="2740" spans="2:6" x14ac:dyDescent="0.2">
      <c r="B2740" s="101" t="s">
        <v>64</v>
      </c>
      <c r="C2740" s="30" t="s">
        <v>210</v>
      </c>
      <c r="D2740" s="101">
        <v>580</v>
      </c>
      <c r="E2740" s="183"/>
      <c r="F2740" s="99">
        <v>0.84</v>
      </c>
    </row>
    <row r="2741" spans="2:6" x14ac:dyDescent="0.2">
      <c r="B2741" s="101" t="s">
        <v>64</v>
      </c>
      <c r="C2741" s="30" t="s">
        <v>210</v>
      </c>
      <c r="D2741" s="101" t="s">
        <v>1969</v>
      </c>
      <c r="E2741" s="25"/>
      <c r="F2741" s="99">
        <v>2.8</v>
      </c>
    </row>
    <row r="2742" spans="2:6" x14ac:dyDescent="0.2">
      <c r="B2742" s="101" t="s">
        <v>64</v>
      </c>
      <c r="C2742" s="30" t="s">
        <v>210</v>
      </c>
      <c r="D2742" s="101">
        <v>600</v>
      </c>
      <c r="E2742" s="183"/>
      <c r="F2742" s="99">
        <v>5.12</v>
      </c>
    </row>
    <row r="2743" spans="2:6" x14ac:dyDescent="0.2">
      <c r="B2743" s="101" t="s">
        <v>64</v>
      </c>
      <c r="C2743" s="30" t="s">
        <v>210</v>
      </c>
      <c r="D2743" s="101">
        <v>610</v>
      </c>
      <c r="E2743" s="25"/>
      <c r="F2743" s="99">
        <v>5.44</v>
      </c>
    </row>
    <row r="2744" spans="2:6" x14ac:dyDescent="0.2">
      <c r="B2744" s="101" t="s">
        <v>64</v>
      </c>
      <c r="C2744" s="30" t="s">
        <v>210</v>
      </c>
      <c r="D2744" s="101">
        <v>610</v>
      </c>
      <c r="E2744" s="183"/>
      <c r="F2744" s="99">
        <v>0.4</v>
      </c>
    </row>
    <row r="2745" spans="2:6" x14ac:dyDescent="0.2">
      <c r="B2745" s="101" t="s">
        <v>64</v>
      </c>
      <c r="C2745" s="30" t="s">
        <v>210</v>
      </c>
      <c r="D2745" s="101">
        <v>630</v>
      </c>
      <c r="E2745" s="183"/>
      <c r="F2745" s="99">
        <f>7.26+3.12</f>
        <v>10.379999999999999</v>
      </c>
    </row>
    <row r="2746" spans="2:6" x14ac:dyDescent="0.2">
      <c r="B2746" s="101" t="s">
        <v>64</v>
      </c>
      <c r="C2746" s="30" t="s">
        <v>210</v>
      </c>
      <c r="D2746" s="101">
        <v>630</v>
      </c>
      <c r="E2746" s="183"/>
      <c r="F2746" s="99">
        <v>0.49</v>
      </c>
    </row>
    <row r="2747" spans="2:6" x14ac:dyDescent="0.2">
      <c r="B2747" s="101" t="s">
        <v>64</v>
      </c>
      <c r="C2747" s="30" t="s">
        <v>210</v>
      </c>
      <c r="D2747" s="101" t="s">
        <v>2021</v>
      </c>
      <c r="E2747" s="25"/>
      <c r="F2747" s="99">
        <v>0.67</v>
      </c>
    </row>
    <row r="2748" spans="2:6" x14ac:dyDescent="0.2">
      <c r="B2748" s="101" t="s">
        <v>64</v>
      </c>
      <c r="C2748" s="30" t="s">
        <v>210</v>
      </c>
      <c r="D2748" s="101" t="s">
        <v>2022</v>
      </c>
      <c r="E2748" s="25"/>
      <c r="F2748" s="99">
        <v>0.28999999999999998</v>
      </c>
    </row>
    <row r="2749" spans="2:6" x14ac:dyDescent="0.2">
      <c r="B2749" s="101" t="s">
        <v>64</v>
      </c>
      <c r="C2749" s="30" t="s">
        <v>210</v>
      </c>
      <c r="D2749" s="101">
        <v>650</v>
      </c>
      <c r="E2749" s="25"/>
      <c r="F2749" s="99">
        <v>6.61</v>
      </c>
    </row>
    <row r="2750" spans="2:6" x14ac:dyDescent="0.2">
      <c r="B2750" s="101" t="s">
        <v>64</v>
      </c>
      <c r="C2750" s="30" t="s">
        <v>210</v>
      </c>
      <c r="D2750" s="101">
        <v>650</v>
      </c>
      <c r="E2750" s="25"/>
      <c r="F2750" s="99">
        <v>6.52</v>
      </c>
    </row>
    <row r="2751" spans="2:6" x14ac:dyDescent="0.2">
      <c r="B2751" s="101" t="s">
        <v>64</v>
      </c>
      <c r="C2751" s="30" t="s">
        <v>210</v>
      </c>
      <c r="D2751" s="101">
        <v>650</v>
      </c>
      <c r="E2751" s="25"/>
      <c r="F2751" s="99">
        <v>0.22</v>
      </c>
    </row>
    <row r="2752" spans="2:6" x14ac:dyDescent="0.2">
      <c r="B2752" s="101" t="s">
        <v>64</v>
      </c>
      <c r="C2752" s="30" t="s">
        <v>210</v>
      </c>
      <c r="D2752" s="101">
        <v>660</v>
      </c>
      <c r="E2752" s="183"/>
      <c r="F2752" s="99">
        <v>4.0999999999999996</v>
      </c>
    </row>
    <row r="2753" spans="2:6" x14ac:dyDescent="0.2">
      <c r="B2753" s="101" t="s">
        <v>64</v>
      </c>
      <c r="C2753" s="30" t="s">
        <v>210</v>
      </c>
      <c r="D2753" s="101">
        <v>680</v>
      </c>
      <c r="E2753" s="183"/>
      <c r="F2753" s="99">
        <v>5.83</v>
      </c>
    </row>
    <row r="2754" spans="2:6" x14ac:dyDescent="0.2">
      <c r="B2754" s="101" t="s">
        <v>64</v>
      </c>
      <c r="C2754" s="30" t="s">
        <v>210</v>
      </c>
      <c r="D2754" s="101">
        <v>700</v>
      </c>
      <c r="E2754" s="183"/>
      <c r="F2754" s="99">
        <v>3.05</v>
      </c>
    </row>
    <row r="2755" spans="2:6" x14ac:dyDescent="0.2">
      <c r="B2755" s="101" t="s">
        <v>64</v>
      </c>
      <c r="C2755" s="30" t="s">
        <v>210</v>
      </c>
      <c r="D2755" s="101">
        <v>720</v>
      </c>
      <c r="E2755" s="25"/>
      <c r="F2755" s="99">
        <v>4.03</v>
      </c>
    </row>
    <row r="2756" spans="2:6" x14ac:dyDescent="0.2">
      <c r="B2756" s="101" t="s">
        <v>64</v>
      </c>
      <c r="C2756" s="30" t="s">
        <v>210</v>
      </c>
      <c r="D2756" s="101" t="s">
        <v>2079</v>
      </c>
      <c r="E2756" s="25"/>
      <c r="F2756" s="99">
        <v>0.24</v>
      </c>
    </row>
    <row r="2757" spans="2:6" x14ac:dyDescent="0.2">
      <c r="B2757" s="101" t="s">
        <v>64</v>
      </c>
      <c r="C2757" s="30" t="s">
        <v>210</v>
      </c>
      <c r="D2757" s="101">
        <v>750</v>
      </c>
      <c r="E2757" s="183"/>
      <c r="F2757" s="99">
        <v>9.7799999999999994</v>
      </c>
    </row>
    <row r="2758" spans="2:6" x14ac:dyDescent="0.2">
      <c r="B2758" s="101" t="s">
        <v>64</v>
      </c>
      <c r="C2758" s="30" t="s">
        <v>210</v>
      </c>
      <c r="D2758" s="101">
        <v>750</v>
      </c>
      <c r="E2758" s="25"/>
      <c r="F2758" s="99">
        <f>3.07</f>
        <v>3.07</v>
      </c>
    </row>
    <row r="2759" spans="2:6" x14ac:dyDescent="0.2">
      <c r="B2759" s="101" t="s">
        <v>64</v>
      </c>
      <c r="C2759" s="30" t="s">
        <v>210</v>
      </c>
      <c r="D2759" s="101" t="s">
        <v>2095</v>
      </c>
      <c r="E2759" s="25"/>
      <c r="F2759" s="99">
        <v>0.63</v>
      </c>
    </row>
    <row r="2760" spans="2:6" x14ac:dyDescent="0.2">
      <c r="B2760" s="101" t="s">
        <v>64</v>
      </c>
      <c r="C2760" s="30" t="s">
        <v>210</v>
      </c>
      <c r="D2760" s="101">
        <v>770</v>
      </c>
      <c r="E2760" s="183"/>
      <c r="F2760" s="99">
        <v>3.8</v>
      </c>
    </row>
    <row r="2761" spans="2:6" x14ac:dyDescent="0.2">
      <c r="B2761" s="101" t="s">
        <v>64</v>
      </c>
      <c r="C2761" s="30" t="s">
        <v>210</v>
      </c>
      <c r="D2761" s="101">
        <v>790</v>
      </c>
      <c r="E2761" s="25"/>
      <c r="F2761" s="99">
        <f>7.59</f>
        <v>7.59</v>
      </c>
    </row>
    <row r="2762" spans="2:6" x14ac:dyDescent="0.2">
      <c r="B2762" s="101" t="s">
        <v>64</v>
      </c>
      <c r="C2762" s="30" t="s">
        <v>210</v>
      </c>
      <c r="D2762" s="101">
        <v>790</v>
      </c>
      <c r="E2762" s="25"/>
      <c r="F2762" s="99">
        <v>2.38</v>
      </c>
    </row>
    <row r="2763" spans="2:6" x14ac:dyDescent="0.2">
      <c r="B2763" s="101" t="s">
        <v>64</v>
      </c>
      <c r="C2763" s="30" t="s">
        <v>210</v>
      </c>
      <c r="D2763" s="101">
        <v>800</v>
      </c>
      <c r="E2763" s="183"/>
      <c r="F2763" s="99">
        <v>7.64</v>
      </c>
    </row>
    <row r="2764" spans="2:6" x14ac:dyDescent="0.2">
      <c r="B2764" s="101" t="s">
        <v>64</v>
      </c>
      <c r="C2764" s="30" t="s">
        <v>210</v>
      </c>
      <c r="D2764" s="101">
        <v>800</v>
      </c>
      <c r="E2764" s="183"/>
      <c r="F2764" s="99">
        <v>6.02</v>
      </c>
    </row>
    <row r="2765" spans="2:6" x14ac:dyDescent="0.2">
      <c r="B2765" s="101" t="s">
        <v>64</v>
      </c>
      <c r="C2765" s="30" t="s">
        <v>2129</v>
      </c>
      <c r="D2765" s="101">
        <v>810</v>
      </c>
      <c r="E2765" s="183"/>
      <c r="F2765" s="99">
        <v>7.5</v>
      </c>
    </row>
    <row r="2766" spans="2:6" x14ac:dyDescent="0.2">
      <c r="B2766" s="101" t="s">
        <v>64</v>
      </c>
      <c r="C2766" s="30" t="s">
        <v>210</v>
      </c>
      <c r="D2766" s="101">
        <v>820</v>
      </c>
      <c r="E2766" s="183"/>
      <c r="F2766" s="99">
        <v>6.49</v>
      </c>
    </row>
    <row r="2767" spans="2:6" x14ac:dyDescent="0.2">
      <c r="B2767" s="101" t="s">
        <v>64</v>
      </c>
      <c r="C2767" s="30" t="s">
        <v>210</v>
      </c>
      <c r="D2767" s="101">
        <v>820</v>
      </c>
      <c r="E2767" s="183"/>
      <c r="F2767" s="99">
        <v>7.83</v>
      </c>
    </row>
    <row r="2768" spans="2:6" x14ac:dyDescent="0.2">
      <c r="B2768" s="101" t="s">
        <v>64</v>
      </c>
      <c r="C2768" s="30" t="s">
        <v>2129</v>
      </c>
      <c r="D2768" s="101">
        <v>850</v>
      </c>
      <c r="E2768" s="183"/>
      <c r="F2768" s="99">
        <v>6.23</v>
      </c>
    </row>
    <row r="2769" spans="2:6" x14ac:dyDescent="0.2">
      <c r="B2769" s="101" t="s">
        <v>64</v>
      </c>
      <c r="C2769" s="30" t="s">
        <v>210</v>
      </c>
      <c r="D2769" s="101">
        <v>890</v>
      </c>
      <c r="E2769" s="183"/>
      <c r="F2769" s="99">
        <v>6.81</v>
      </c>
    </row>
    <row r="2770" spans="2:6" x14ac:dyDescent="0.2">
      <c r="B2770" s="101" t="s">
        <v>64</v>
      </c>
      <c r="C2770" s="30" t="s">
        <v>210</v>
      </c>
      <c r="D2770" s="101">
        <v>900</v>
      </c>
      <c r="E2770" s="183"/>
      <c r="F2770" s="99">
        <v>2.37</v>
      </c>
    </row>
    <row r="2771" spans="2:6" x14ac:dyDescent="0.2">
      <c r="B2771" s="101" t="s">
        <v>64</v>
      </c>
      <c r="C2771" s="30" t="s">
        <v>210</v>
      </c>
      <c r="D2771" s="101" t="s">
        <v>2175</v>
      </c>
      <c r="E2771" s="183"/>
      <c r="F2771" s="99"/>
    </row>
    <row r="2772" spans="2:6" x14ac:dyDescent="0.2">
      <c r="B2772" s="101" t="s">
        <v>64</v>
      </c>
      <c r="C2772" s="30" t="s">
        <v>210</v>
      </c>
      <c r="D2772" s="101" t="s">
        <v>2217</v>
      </c>
      <c r="E2772" s="183"/>
      <c r="F2772" s="99">
        <v>2.34</v>
      </c>
    </row>
    <row r="2773" spans="2:6" x14ac:dyDescent="0.2">
      <c r="B2773" s="101" t="s">
        <v>64</v>
      </c>
      <c r="C2773" s="30" t="s">
        <v>210</v>
      </c>
      <c r="D2773" s="101" t="s">
        <v>2218</v>
      </c>
      <c r="E2773" s="183"/>
      <c r="F2773" s="99">
        <v>3.57</v>
      </c>
    </row>
    <row r="2774" spans="2:6" x14ac:dyDescent="0.2">
      <c r="B2774" s="101" t="s">
        <v>64</v>
      </c>
      <c r="C2774" s="30" t="s">
        <v>210</v>
      </c>
      <c r="D2774" s="101" t="s">
        <v>2240</v>
      </c>
      <c r="E2774" s="183"/>
      <c r="F2774" s="99">
        <v>0.72</v>
      </c>
    </row>
    <row r="2775" spans="2:6" x14ac:dyDescent="0.2">
      <c r="B2775" s="101" t="s">
        <v>64</v>
      </c>
      <c r="C2775" s="30" t="s">
        <v>210</v>
      </c>
      <c r="D2775" s="101" t="s">
        <v>2241</v>
      </c>
      <c r="E2775" s="183"/>
      <c r="F2775" s="99">
        <v>0.62</v>
      </c>
    </row>
    <row r="2776" spans="2:6" x14ac:dyDescent="0.2">
      <c r="B2776" s="101" t="s">
        <v>64</v>
      </c>
      <c r="C2776" s="30" t="s">
        <v>210</v>
      </c>
      <c r="D2776" s="101" t="s">
        <v>2251</v>
      </c>
      <c r="E2776" s="183"/>
      <c r="F2776" s="99">
        <v>0.625</v>
      </c>
    </row>
    <row r="2777" spans="2:6" x14ac:dyDescent="0.2">
      <c r="B2777" s="101" t="s">
        <v>64</v>
      </c>
      <c r="C2777" s="30" t="s">
        <v>210</v>
      </c>
      <c r="D2777" s="101" t="s">
        <v>2252</v>
      </c>
      <c r="E2777" s="183"/>
      <c r="F2777" s="99">
        <v>0.61</v>
      </c>
    </row>
    <row r="2778" spans="2:6" x14ac:dyDescent="0.2">
      <c r="B2778" s="101" t="s">
        <v>64</v>
      </c>
      <c r="C2778" s="30" t="s">
        <v>210</v>
      </c>
      <c r="D2778" s="101" t="s">
        <v>2256</v>
      </c>
      <c r="E2778" s="183"/>
      <c r="F2778" s="99">
        <v>0.6</v>
      </c>
    </row>
    <row r="2779" spans="2:6" x14ac:dyDescent="0.2">
      <c r="B2779" s="101" t="s">
        <v>64</v>
      </c>
      <c r="C2779" s="30" t="s">
        <v>210</v>
      </c>
      <c r="D2779" s="101" t="s">
        <v>2257</v>
      </c>
      <c r="E2779" s="183"/>
      <c r="F2779" s="99">
        <v>0.62</v>
      </c>
    </row>
    <row r="2780" spans="2:6" x14ac:dyDescent="0.2">
      <c r="B2780" s="101" t="s">
        <v>64</v>
      </c>
      <c r="C2780" s="30" t="s">
        <v>210</v>
      </c>
      <c r="D2780" s="101" t="s">
        <v>2265</v>
      </c>
      <c r="E2780" s="183"/>
      <c r="F2780" s="99">
        <v>0.62</v>
      </c>
    </row>
    <row r="2781" spans="2:6" x14ac:dyDescent="0.2">
      <c r="B2781" s="101" t="s">
        <v>64</v>
      </c>
      <c r="C2781" s="30" t="s">
        <v>210</v>
      </c>
      <c r="D2781" s="101" t="s">
        <v>2269</v>
      </c>
      <c r="E2781" s="183"/>
      <c r="F2781" s="99">
        <v>0.64500000000000002</v>
      </c>
    </row>
    <row r="2782" spans="2:6" x14ac:dyDescent="0.2">
      <c r="B2782" s="101" t="s">
        <v>64</v>
      </c>
      <c r="C2782" s="30" t="s">
        <v>2192</v>
      </c>
      <c r="D2782" s="101" t="s">
        <v>2193</v>
      </c>
      <c r="E2782" s="183"/>
      <c r="F2782" s="99">
        <v>3.2250000000000001</v>
      </c>
    </row>
    <row r="2783" spans="2:6" x14ac:dyDescent="0.2">
      <c r="B2783" s="101" t="s">
        <v>64</v>
      </c>
      <c r="C2783" s="30" t="s">
        <v>2192</v>
      </c>
      <c r="D2783" s="101" t="s">
        <v>2194</v>
      </c>
      <c r="E2783" s="183"/>
      <c r="F2783" s="99">
        <v>3.2050000000000001</v>
      </c>
    </row>
    <row r="2784" spans="2:6" x14ac:dyDescent="0.2">
      <c r="B2784" s="101" t="s">
        <v>64</v>
      </c>
      <c r="C2784" s="30" t="s">
        <v>2192</v>
      </c>
      <c r="D2784" s="101" t="s">
        <v>2215</v>
      </c>
      <c r="E2784" s="183"/>
      <c r="F2784" s="99">
        <v>3.39</v>
      </c>
    </row>
    <row r="2785" spans="2:6" x14ac:dyDescent="0.2">
      <c r="B2785" s="101" t="s">
        <v>64</v>
      </c>
      <c r="C2785" s="30" t="s">
        <v>2192</v>
      </c>
      <c r="D2785" s="101" t="s">
        <v>2216</v>
      </c>
      <c r="E2785" s="183"/>
      <c r="F2785" s="99">
        <f>3.41+3.285</f>
        <v>6.6950000000000003</v>
      </c>
    </row>
    <row r="2786" spans="2:6" x14ac:dyDescent="0.2">
      <c r="B2786" s="101" t="s">
        <v>64</v>
      </c>
      <c r="C2786" s="30" t="s">
        <v>861</v>
      </c>
      <c r="D2786" s="101" t="s">
        <v>1941</v>
      </c>
      <c r="E2786" s="183"/>
      <c r="F2786" s="99">
        <v>0.1</v>
      </c>
    </row>
    <row r="2787" spans="2:6" x14ac:dyDescent="0.2">
      <c r="B2787" s="101" t="s">
        <v>64</v>
      </c>
      <c r="C2787" s="30" t="s">
        <v>861</v>
      </c>
      <c r="D2787" s="101" t="s">
        <v>2007</v>
      </c>
      <c r="E2787" s="183"/>
      <c r="F2787" s="99">
        <v>0.30499999999999999</v>
      </c>
    </row>
    <row r="2788" spans="2:6" x14ac:dyDescent="0.2">
      <c r="B2788" s="101" t="s">
        <v>64</v>
      </c>
      <c r="C2788" s="30" t="s">
        <v>861</v>
      </c>
      <c r="D2788" s="101" t="s">
        <v>2013</v>
      </c>
      <c r="E2788" s="25"/>
      <c r="F2788" s="99">
        <v>0.54</v>
      </c>
    </row>
    <row r="2789" spans="2:6" x14ac:dyDescent="0.2">
      <c r="B2789" s="101" t="s">
        <v>64</v>
      </c>
      <c r="C2789" s="30" t="s">
        <v>861</v>
      </c>
      <c r="D2789" s="101" t="s">
        <v>2019</v>
      </c>
      <c r="E2789" s="25"/>
      <c r="F2789" s="99">
        <f>0.52+0.5</f>
        <v>1.02</v>
      </c>
    </row>
    <row r="2790" spans="2:6" x14ac:dyDescent="0.2">
      <c r="B2790" s="101" t="s">
        <v>64</v>
      </c>
      <c r="C2790" s="30" t="s">
        <v>861</v>
      </c>
      <c r="D2790" s="101" t="s">
        <v>2056</v>
      </c>
      <c r="E2790" s="183"/>
      <c r="F2790" s="99"/>
    </row>
    <row r="2791" spans="2:6" x14ac:dyDescent="0.2">
      <c r="B2791" s="78" t="s">
        <v>64</v>
      </c>
      <c r="C2791" s="174" t="s">
        <v>281</v>
      </c>
      <c r="D2791" s="2" t="s">
        <v>88</v>
      </c>
      <c r="E2791" s="77"/>
      <c r="F2791" s="39">
        <v>3.48</v>
      </c>
    </row>
    <row r="2792" spans="2:6" x14ac:dyDescent="0.2">
      <c r="B2792" s="101" t="s">
        <v>64</v>
      </c>
      <c r="C2792" s="30" t="s">
        <v>281</v>
      </c>
      <c r="D2792" s="101">
        <v>400</v>
      </c>
      <c r="E2792" s="183"/>
      <c r="F2792" s="99">
        <v>1.66</v>
      </c>
    </row>
    <row r="2793" spans="2:6" x14ac:dyDescent="0.2">
      <c r="B2793" s="101" t="s">
        <v>64</v>
      </c>
      <c r="C2793" s="30" t="s">
        <v>281</v>
      </c>
      <c r="D2793" s="101">
        <v>570</v>
      </c>
      <c r="E2793" s="25"/>
      <c r="F2793" s="99">
        <f>0.46+0.48+0.48+0.48</f>
        <v>1.9</v>
      </c>
    </row>
    <row r="2794" spans="2:6" x14ac:dyDescent="0.2">
      <c r="B2794" s="101" t="s">
        <v>64</v>
      </c>
      <c r="C2794" s="30" t="s">
        <v>281</v>
      </c>
      <c r="D2794" s="101" t="s">
        <v>1997</v>
      </c>
      <c r="E2794" s="183"/>
      <c r="F2794" s="99">
        <v>0.5</v>
      </c>
    </row>
    <row r="2795" spans="2:6" x14ac:dyDescent="0.2">
      <c r="B2795" s="101" t="s">
        <v>64</v>
      </c>
      <c r="C2795" s="30" t="s">
        <v>281</v>
      </c>
      <c r="D2795" s="101" t="s">
        <v>2383</v>
      </c>
      <c r="E2795" s="183"/>
      <c r="F2795" s="99">
        <v>1.43</v>
      </c>
    </row>
    <row r="2796" spans="2:6" x14ac:dyDescent="0.2">
      <c r="B2796" s="101" t="s">
        <v>64</v>
      </c>
      <c r="C2796" s="30" t="s">
        <v>1636</v>
      </c>
      <c r="D2796" s="101" t="s">
        <v>1637</v>
      </c>
      <c r="E2796" s="183"/>
      <c r="F2796" s="99"/>
    </row>
    <row r="2797" spans="2:6" x14ac:dyDescent="0.2">
      <c r="B2797" s="101" t="s">
        <v>64</v>
      </c>
      <c r="C2797" s="30" t="s">
        <v>314</v>
      </c>
      <c r="D2797" s="101">
        <v>380</v>
      </c>
      <c r="E2797" s="183"/>
      <c r="F2797" s="99">
        <v>1.25</v>
      </c>
    </row>
    <row r="2798" spans="2:6" x14ac:dyDescent="0.2">
      <c r="B2798" s="101" t="s">
        <v>64</v>
      </c>
      <c r="C2798" s="30" t="s">
        <v>314</v>
      </c>
      <c r="D2798" s="101" t="s">
        <v>1799</v>
      </c>
      <c r="E2798" s="183"/>
      <c r="F2798" s="99">
        <v>0.05</v>
      </c>
    </row>
    <row r="2799" spans="2:6" x14ac:dyDescent="0.2">
      <c r="B2799" s="101" t="s">
        <v>64</v>
      </c>
      <c r="C2799" s="30" t="s">
        <v>314</v>
      </c>
      <c r="D2799" s="101" t="s">
        <v>1800</v>
      </c>
      <c r="E2799" s="183"/>
      <c r="F2799" s="99">
        <v>0.05</v>
      </c>
    </row>
    <row r="2800" spans="2:6" x14ac:dyDescent="0.2">
      <c r="B2800" s="101" t="s">
        <v>64</v>
      </c>
      <c r="C2800" s="30" t="s">
        <v>314</v>
      </c>
      <c r="D2800" s="101" t="s">
        <v>1801</v>
      </c>
      <c r="E2800" s="183"/>
      <c r="F2800" s="99">
        <f>1.6-0.4</f>
        <v>1.2000000000000002</v>
      </c>
    </row>
    <row r="2801" spans="2:6" x14ac:dyDescent="0.2">
      <c r="B2801" s="101" t="s">
        <v>64</v>
      </c>
      <c r="C2801" s="30" t="s">
        <v>314</v>
      </c>
      <c r="D2801" s="101" t="s">
        <v>1802</v>
      </c>
      <c r="E2801" s="183"/>
      <c r="F2801" s="99">
        <v>0.56000000000000005</v>
      </c>
    </row>
    <row r="2802" spans="2:6" x14ac:dyDescent="0.2">
      <c r="B2802" s="101" t="s">
        <v>64</v>
      </c>
      <c r="C2802" s="30" t="s">
        <v>314</v>
      </c>
      <c r="D2802" s="101" t="s">
        <v>2515</v>
      </c>
      <c r="E2802" s="183"/>
      <c r="F2802" s="99">
        <f>0.58+0.57</f>
        <v>1.1499999999999999</v>
      </c>
    </row>
    <row r="2803" spans="2:6" x14ac:dyDescent="0.2">
      <c r="B2803" s="101" t="s">
        <v>64</v>
      </c>
      <c r="C2803" s="30" t="s">
        <v>314</v>
      </c>
      <c r="D2803" s="101" t="s">
        <v>2516</v>
      </c>
      <c r="E2803" s="183"/>
      <c r="F2803" s="99">
        <v>0.56999999999999995</v>
      </c>
    </row>
    <row r="2804" spans="2:6" x14ac:dyDescent="0.2">
      <c r="B2804" s="101" t="s">
        <v>64</v>
      </c>
      <c r="C2804" s="30" t="s">
        <v>314</v>
      </c>
      <c r="D2804" s="101" t="s">
        <v>2515</v>
      </c>
      <c r="E2804" s="183"/>
      <c r="F2804" s="99">
        <v>0.56999999999999995</v>
      </c>
    </row>
    <row r="2805" spans="2:6" x14ac:dyDescent="0.2">
      <c r="B2805" s="101" t="s">
        <v>64</v>
      </c>
      <c r="C2805" s="30" t="s">
        <v>314</v>
      </c>
      <c r="D2805" s="101">
        <v>400</v>
      </c>
      <c r="E2805" s="183"/>
      <c r="F2805" s="99">
        <v>4.9400000000000004</v>
      </c>
    </row>
    <row r="2806" spans="2:6" x14ac:dyDescent="0.2">
      <c r="B2806" s="101" t="s">
        <v>64</v>
      </c>
      <c r="C2806" s="30" t="s">
        <v>314</v>
      </c>
      <c r="D2806" s="101">
        <v>400</v>
      </c>
      <c r="E2806" s="183"/>
      <c r="F2806" s="99">
        <v>1.07</v>
      </c>
    </row>
    <row r="2807" spans="2:6" x14ac:dyDescent="0.2">
      <c r="B2807" s="101" t="s">
        <v>64</v>
      </c>
      <c r="C2807" s="30" t="s">
        <v>314</v>
      </c>
      <c r="D2807" s="101" t="s">
        <v>2520</v>
      </c>
      <c r="E2807" s="183"/>
      <c r="F2807" s="99">
        <v>0.56999999999999995</v>
      </c>
    </row>
    <row r="2808" spans="2:6" x14ac:dyDescent="0.2">
      <c r="B2808" s="101" t="s">
        <v>64</v>
      </c>
      <c r="C2808" s="30" t="s">
        <v>314</v>
      </c>
      <c r="D2808" s="101" t="s">
        <v>2521</v>
      </c>
      <c r="E2808" s="183"/>
      <c r="F2808" s="99">
        <v>0.56000000000000005</v>
      </c>
    </row>
    <row r="2809" spans="2:6" x14ac:dyDescent="0.2">
      <c r="B2809" s="101" t="s">
        <v>64</v>
      </c>
      <c r="C2809" s="30" t="s">
        <v>314</v>
      </c>
      <c r="D2809" s="101" t="s">
        <v>2522</v>
      </c>
      <c r="E2809" s="183"/>
      <c r="F2809" s="99">
        <v>0.56999999999999995</v>
      </c>
    </row>
    <row r="2810" spans="2:6" x14ac:dyDescent="0.2">
      <c r="B2810" s="101" t="s">
        <v>64</v>
      </c>
      <c r="C2810" s="30" t="s">
        <v>314</v>
      </c>
      <c r="D2810" s="101">
        <v>480</v>
      </c>
      <c r="E2810" s="183"/>
      <c r="F2810" s="99">
        <v>1.75</v>
      </c>
    </row>
    <row r="2811" spans="2:6" x14ac:dyDescent="0.2">
      <c r="B2811" s="101" t="s">
        <v>64</v>
      </c>
      <c r="C2811" s="30" t="s">
        <v>314</v>
      </c>
      <c r="D2811" s="101">
        <v>500</v>
      </c>
      <c r="E2811" s="183"/>
      <c r="F2811" s="99">
        <v>5.13</v>
      </c>
    </row>
    <row r="2812" spans="2:6" x14ac:dyDescent="0.2">
      <c r="B2812" s="101" t="s">
        <v>64</v>
      </c>
      <c r="C2812" s="30" t="s">
        <v>314</v>
      </c>
      <c r="D2812" s="101">
        <v>530</v>
      </c>
      <c r="E2812" s="183"/>
      <c r="F2812" s="99">
        <v>0.47</v>
      </c>
    </row>
    <row r="2813" spans="2:6" x14ac:dyDescent="0.2">
      <c r="B2813" s="101" t="s">
        <v>64</v>
      </c>
      <c r="C2813" s="30" t="s">
        <v>314</v>
      </c>
      <c r="D2813" s="101">
        <v>560</v>
      </c>
      <c r="E2813" s="183"/>
      <c r="F2813" s="99">
        <v>0.8</v>
      </c>
    </row>
    <row r="2814" spans="2:6" x14ac:dyDescent="0.2">
      <c r="B2814" s="101" t="s">
        <v>64</v>
      </c>
      <c r="C2814" s="30" t="s">
        <v>314</v>
      </c>
      <c r="D2814" s="101">
        <v>600</v>
      </c>
      <c r="E2814" s="183"/>
      <c r="F2814" s="99">
        <v>3.1</v>
      </c>
    </row>
    <row r="2815" spans="2:6" x14ac:dyDescent="0.2">
      <c r="B2815" s="101" t="s">
        <v>64</v>
      </c>
      <c r="C2815" s="30" t="s">
        <v>314</v>
      </c>
      <c r="D2815" s="101" t="s">
        <v>2567</v>
      </c>
      <c r="E2815" s="183"/>
      <c r="F2815" s="99">
        <v>0.56000000000000005</v>
      </c>
    </row>
    <row r="2816" spans="2:6" x14ac:dyDescent="0.2">
      <c r="B2816" s="101" t="s">
        <v>64</v>
      </c>
      <c r="C2816" s="30" t="s">
        <v>314</v>
      </c>
      <c r="D2816" s="101" t="s">
        <v>2568</v>
      </c>
      <c r="E2816" s="183"/>
      <c r="F2816" s="99">
        <v>0.56000000000000005</v>
      </c>
    </row>
    <row r="2817" spans="2:6" x14ac:dyDescent="0.2">
      <c r="B2817" s="101" t="s">
        <v>64</v>
      </c>
      <c r="C2817" s="30" t="s">
        <v>314</v>
      </c>
      <c r="D2817" s="101">
        <v>610</v>
      </c>
      <c r="E2817" s="183"/>
      <c r="F2817" s="99">
        <v>4.34</v>
      </c>
    </row>
    <row r="2818" spans="2:6" x14ac:dyDescent="0.2">
      <c r="B2818" s="101" t="s">
        <v>64</v>
      </c>
      <c r="C2818" s="30" t="s">
        <v>314</v>
      </c>
      <c r="D2818" s="101">
        <v>610</v>
      </c>
      <c r="E2818" s="183"/>
      <c r="F2818" s="99">
        <f>0.13+1.1</f>
        <v>1.23</v>
      </c>
    </row>
    <row r="2819" spans="2:6" x14ac:dyDescent="0.2">
      <c r="B2819" s="101" t="s">
        <v>64</v>
      </c>
      <c r="C2819" s="30" t="s">
        <v>314</v>
      </c>
      <c r="D2819" s="101" t="s">
        <v>2570</v>
      </c>
      <c r="E2819" s="183"/>
      <c r="F2819" s="99">
        <v>0.57999999999999996</v>
      </c>
    </row>
    <row r="2820" spans="2:6" x14ac:dyDescent="0.2">
      <c r="B2820" s="101" t="s">
        <v>64</v>
      </c>
      <c r="C2820" s="30" t="s">
        <v>314</v>
      </c>
      <c r="D2820" s="101" t="s">
        <v>2571</v>
      </c>
      <c r="E2820" s="183"/>
      <c r="F2820" s="99">
        <v>0.56000000000000005</v>
      </c>
    </row>
    <row r="2821" spans="2:6" x14ac:dyDescent="0.2">
      <c r="B2821" s="101" t="s">
        <v>64</v>
      </c>
      <c r="C2821" s="30" t="s">
        <v>314</v>
      </c>
      <c r="D2821" s="101" t="s">
        <v>2010</v>
      </c>
      <c r="E2821" s="183"/>
      <c r="F2821" s="99">
        <v>0.43</v>
      </c>
    </row>
    <row r="2822" spans="2:6" x14ac:dyDescent="0.2">
      <c r="B2822" s="101" t="s">
        <v>64</v>
      </c>
      <c r="C2822" s="30" t="s">
        <v>314</v>
      </c>
      <c r="D2822" s="101" t="s">
        <v>2572</v>
      </c>
      <c r="E2822" s="183"/>
      <c r="F2822" s="99"/>
    </row>
    <row r="2823" spans="2:6" x14ac:dyDescent="0.2">
      <c r="B2823" s="101" t="s">
        <v>64</v>
      </c>
      <c r="C2823" s="30" t="s">
        <v>314</v>
      </c>
      <c r="D2823" s="101" t="s">
        <v>2018</v>
      </c>
      <c r="E2823" s="183"/>
      <c r="F2823" s="99">
        <v>0.45</v>
      </c>
    </row>
    <row r="2824" spans="2:6" x14ac:dyDescent="0.2">
      <c r="B2824" s="101" t="s">
        <v>64</v>
      </c>
      <c r="C2824" s="30" t="s">
        <v>314</v>
      </c>
      <c r="D2824" s="101">
        <v>650</v>
      </c>
      <c r="E2824" s="183"/>
      <c r="F2824" s="99">
        <v>4.24</v>
      </c>
    </row>
    <row r="2825" spans="2:6" x14ac:dyDescent="0.2">
      <c r="B2825" s="101" t="s">
        <v>64</v>
      </c>
      <c r="C2825" s="30" t="s">
        <v>314</v>
      </c>
      <c r="D2825" s="101">
        <v>660</v>
      </c>
      <c r="E2825" s="183"/>
      <c r="F2825" s="99">
        <v>2.91</v>
      </c>
    </row>
    <row r="2826" spans="2:6" x14ac:dyDescent="0.2">
      <c r="B2826" s="101" t="s">
        <v>64</v>
      </c>
      <c r="C2826" s="30" t="s">
        <v>314</v>
      </c>
      <c r="D2826" s="101" t="s">
        <v>2074</v>
      </c>
      <c r="E2826" s="183"/>
      <c r="F2826" s="99">
        <v>0.91</v>
      </c>
    </row>
    <row r="2827" spans="2:6" x14ac:dyDescent="0.2">
      <c r="B2827" s="101" t="s">
        <v>64</v>
      </c>
      <c r="C2827" s="30" t="s">
        <v>314</v>
      </c>
      <c r="D2827" s="101" t="s">
        <v>2085</v>
      </c>
      <c r="E2827" s="183"/>
      <c r="F2827" s="99">
        <v>0.95</v>
      </c>
    </row>
    <row r="2828" spans="2:6" x14ac:dyDescent="0.2">
      <c r="B2828" s="101" t="s">
        <v>64</v>
      </c>
      <c r="C2828" s="30" t="s">
        <v>314</v>
      </c>
      <c r="D2828" s="101" t="s">
        <v>2250</v>
      </c>
      <c r="E2828" s="183"/>
      <c r="F2828" s="99">
        <v>0.77</v>
      </c>
    </row>
    <row r="2829" spans="2:6" x14ac:dyDescent="0.2">
      <c r="B2829" s="101" t="s">
        <v>64</v>
      </c>
      <c r="C2829" s="30" t="s">
        <v>2280</v>
      </c>
      <c r="D2829" s="101" t="s">
        <v>2281</v>
      </c>
      <c r="E2829" s="183"/>
      <c r="F2829" s="99">
        <v>0.64</v>
      </c>
    </row>
    <row r="2830" spans="2:6" x14ac:dyDescent="0.2">
      <c r="B2830" s="101" t="s">
        <v>64</v>
      </c>
      <c r="C2830" s="30" t="s">
        <v>1898</v>
      </c>
      <c r="D2830" s="101" t="s">
        <v>2536</v>
      </c>
      <c r="E2830" s="183"/>
      <c r="F2830" s="99">
        <f>2.035+1.43</f>
        <v>3.4649999999999999</v>
      </c>
    </row>
    <row r="2831" spans="2:6" x14ac:dyDescent="0.2">
      <c r="B2831" s="78" t="s">
        <v>64</v>
      </c>
      <c r="C2831" s="174" t="s">
        <v>705</v>
      </c>
      <c r="D2831" s="2" t="s">
        <v>65</v>
      </c>
      <c r="E2831" s="77"/>
      <c r="F2831" s="39">
        <v>0.04</v>
      </c>
    </row>
    <row r="2832" spans="2:6" x14ac:dyDescent="0.2">
      <c r="B2832" s="30" t="s">
        <v>64</v>
      </c>
      <c r="C2832" s="30" t="s">
        <v>478</v>
      </c>
      <c r="D2832" s="30" t="s">
        <v>479</v>
      </c>
      <c r="E2832" s="101"/>
      <c r="F2832" s="99">
        <f>(0.236)</f>
        <v>0.23599999999999999</v>
      </c>
    </row>
    <row r="2833" spans="2:6" x14ac:dyDescent="0.2">
      <c r="B2833" s="30" t="s">
        <v>64</v>
      </c>
      <c r="C2833" s="30" t="s">
        <v>478</v>
      </c>
      <c r="D2833" s="30" t="s">
        <v>480</v>
      </c>
      <c r="E2833" s="101"/>
      <c r="F2833" s="99">
        <f>2.33-0.078-(0.236)-0.614-0.048-0.436</f>
        <v>0.91800000000000015</v>
      </c>
    </row>
    <row r="2834" spans="2:6" x14ac:dyDescent="0.2">
      <c r="B2834" s="101" t="s">
        <v>64</v>
      </c>
      <c r="C2834" s="30" t="s">
        <v>1882</v>
      </c>
      <c r="D2834" s="101">
        <v>460</v>
      </c>
      <c r="E2834" s="25"/>
      <c r="F2834" s="99">
        <f>2.4+1.31</f>
        <v>3.71</v>
      </c>
    </row>
    <row r="2835" spans="2:6" x14ac:dyDescent="0.2">
      <c r="B2835" s="101" t="s">
        <v>64</v>
      </c>
      <c r="C2835" s="30" t="s">
        <v>1767</v>
      </c>
      <c r="D2835" s="101">
        <v>350</v>
      </c>
      <c r="E2835" s="25"/>
      <c r="F2835" s="99">
        <f>1.14+1.08</f>
        <v>2.2199999999999998</v>
      </c>
    </row>
    <row r="2836" spans="2:6" x14ac:dyDescent="0.2">
      <c r="B2836" s="101" t="s">
        <v>64</v>
      </c>
      <c r="C2836" s="30" t="s">
        <v>315</v>
      </c>
      <c r="D2836" s="101">
        <v>380</v>
      </c>
      <c r="E2836" s="183"/>
      <c r="F2836" s="99">
        <v>3.85</v>
      </c>
    </row>
    <row r="2837" spans="2:6" x14ac:dyDescent="0.2">
      <c r="B2837" s="101" t="s">
        <v>64</v>
      </c>
      <c r="C2837" s="30" t="s">
        <v>315</v>
      </c>
      <c r="D2837" s="101">
        <v>400</v>
      </c>
      <c r="E2837" s="183"/>
      <c r="F2837" s="99">
        <v>3.12</v>
      </c>
    </row>
    <row r="2838" spans="2:6" x14ac:dyDescent="0.2">
      <c r="B2838" s="101" t="s">
        <v>64</v>
      </c>
      <c r="C2838" s="30" t="s">
        <v>315</v>
      </c>
      <c r="D2838" s="101">
        <v>400</v>
      </c>
      <c r="E2838" s="183"/>
      <c r="F2838" s="99">
        <v>1.85</v>
      </c>
    </row>
    <row r="2839" spans="2:6" x14ac:dyDescent="0.2">
      <c r="B2839" s="101" t="s">
        <v>64</v>
      </c>
      <c r="C2839" s="30" t="s">
        <v>315</v>
      </c>
      <c r="D2839" s="101" t="s">
        <v>2523</v>
      </c>
      <c r="E2839" s="183"/>
      <c r="F2839" s="99"/>
    </row>
    <row r="2840" spans="2:6" x14ac:dyDescent="0.2">
      <c r="B2840" s="101" t="s">
        <v>64</v>
      </c>
      <c r="C2840" s="30" t="s">
        <v>315</v>
      </c>
      <c r="D2840" s="101">
        <v>410</v>
      </c>
      <c r="E2840" s="183"/>
      <c r="F2840" s="99">
        <v>0.62</v>
      </c>
    </row>
    <row r="2841" spans="2:6" x14ac:dyDescent="0.2">
      <c r="B2841" s="101" t="s">
        <v>64</v>
      </c>
      <c r="C2841" s="30" t="s">
        <v>315</v>
      </c>
      <c r="D2841" s="101" t="s">
        <v>1829</v>
      </c>
      <c r="E2841" s="183"/>
      <c r="F2841" s="99">
        <v>0.23</v>
      </c>
    </row>
    <row r="2842" spans="2:6" x14ac:dyDescent="0.2">
      <c r="B2842" s="101" t="s">
        <v>64</v>
      </c>
      <c r="C2842" s="30" t="s">
        <v>315</v>
      </c>
      <c r="D2842" s="101" t="s">
        <v>1839</v>
      </c>
      <c r="E2842" s="183"/>
      <c r="F2842" s="99">
        <v>4.68</v>
      </c>
    </row>
    <row r="2843" spans="2:6" x14ac:dyDescent="0.2">
      <c r="B2843" s="101" t="s">
        <v>64</v>
      </c>
      <c r="C2843" s="30" t="s">
        <v>315</v>
      </c>
      <c r="D2843" s="101">
        <v>420</v>
      </c>
      <c r="E2843" s="183"/>
      <c r="F2843" s="99">
        <f>1.28+0.64-0.64-0.64</f>
        <v>0.63999999999999979</v>
      </c>
    </row>
    <row r="2844" spans="2:6" x14ac:dyDescent="0.2">
      <c r="B2844" s="101" t="s">
        <v>64</v>
      </c>
      <c r="C2844" s="30" t="s">
        <v>315</v>
      </c>
      <c r="D2844" s="101">
        <v>430</v>
      </c>
      <c r="E2844" s="183"/>
      <c r="F2844" s="99">
        <v>0.46</v>
      </c>
    </row>
    <row r="2845" spans="2:6" x14ac:dyDescent="0.2">
      <c r="B2845" s="101" t="s">
        <v>64</v>
      </c>
      <c r="C2845" s="30" t="s">
        <v>315</v>
      </c>
      <c r="D2845" s="101">
        <v>450</v>
      </c>
      <c r="E2845" s="183"/>
      <c r="F2845" s="99">
        <v>4.67</v>
      </c>
    </row>
    <row r="2846" spans="2:6" x14ac:dyDescent="0.2">
      <c r="B2846" s="101" t="s">
        <v>64</v>
      </c>
      <c r="C2846" s="30" t="s">
        <v>315</v>
      </c>
      <c r="D2846" s="101" t="s">
        <v>1884</v>
      </c>
      <c r="E2846" s="183"/>
      <c r="F2846" s="99">
        <v>7.37</v>
      </c>
    </row>
    <row r="2847" spans="2:6" x14ac:dyDescent="0.2">
      <c r="B2847" s="101" t="s">
        <v>64</v>
      </c>
      <c r="C2847" s="30" t="s">
        <v>315</v>
      </c>
      <c r="D2847" s="101" t="s">
        <v>1885</v>
      </c>
      <c r="E2847" s="183"/>
      <c r="F2847" s="99">
        <f>22.03+7.38</f>
        <v>29.41</v>
      </c>
    </row>
    <row r="2848" spans="2:6" x14ac:dyDescent="0.2">
      <c r="B2848" s="101" t="s">
        <v>64</v>
      </c>
      <c r="C2848" s="30" t="s">
        <v>315</v>
      </c>
      <c r="D2848" s="101" t="s">
        <v>1886</v>
      </c>
      <c r="E2848" s="183"/>
      <c r="F2848" s="99">
        <v>15.4</v>
      </c>
    </row>
    <row r="2849" spans="2:6" x14ac:dyDescent="0.2">
      <c r="B2849" s="101" t="s">
        <v>64</v>
      </c>
      <c r="C2849" s="30" t="s">
        <v>315</v>
      </c>
      <c r="D2849" s="101" t="s">
        <v>1887</v>
      </c>
      <c r="E2849" s="25"/>
      <c r="F2849" s="99">
        <v>0.06</v>
      </c>
    </row>
    <row r="2850" spans="2:6" x14ac:dyDescent="0.2">
      <c r="B2850" s="101" t="s">
        <v>64</v>
      </c>
      <c r="C2850" s="30" t="s">
        <v>315</v>
      </c>
      <c r="D2850" s="101" t="s">
        <v>1892</v>
      </c>
      <c r="E2850" s="183"/>
      <c r="F2850" s="99">
        <v>0.08</v>
      </c>
    </row>
    <row r="2851" spans="2:6" x14ac:dyDescent="0.2">
      <c r="B2851" s="101" t="s">
        <v>64</v>
      </c>
      <c r="C2851" s="30" t="s">
        <v>315</v>
      </c>
      <c r="D2851" s="101">
        <v>490</v>
      </c>
      <c r="E2851" s="183"/>
      <c r="F2851" s="99">
        <v>0.6</v>
      </c>
    </row>
    <row r="2852" spans="2:6" x14ac:dyDescent="0.2">
      <c r="B2852" s="101" t="s">
        <v>64</v>
      </c>
      <c r="C2852" s="30" t="s">
        <v>315</v>
      </c>
      <c r="D2852" s="101">
        <v>500</v>
      </c>
      <c r="E2852" s="183"/>
      <c r="F2852" s="99">
        <v>0.23</v>
      </c>
    </row>
    <row r="2853" spans="2:6" x14ac:dyDescent="0.2">
      <c r="B2853" s="101" t="s">
        <v>64</v>
      </c>
      <c r="C2853" s="30" t="s">
        <v>315</v>
      </c>
      <c r="D2853" s="101" t="s">
        <v>1957</v>
      </c>
      <c r="E2853" s="183"/>
      <c r="F2853" s="99">
        <v>1.86</v>
      </c>
    </row>
    <row r="2854" spans="2:6" x14ac:dyDescent="0.2">
      <c r="B2854" s="101" t="s">
        <v>64</v>
      </c>
      <c r="C2854" s="30" t="s">
        <v>315</v>
      </c>
      <c r="D2854" s="101">
        <v>560</v>
      </c>
      <c r="E2854" s="183"/>
      <c r="F2854" s="99">
        <v>0.66</v>
      </c>
    </row>
    <row r="2855" spans="2:6" x14ac:dyDescent="0.2">
      <c r="B2855" s="101" t="s">
        <v>64</v>
      </c>
      <c r="C2855" s="30" t="s">
        <v>315</v>
      </c>
      <c r="D2855" s="101" t="s">
        <v>2036</v>
      </c>
      <c r="E2855" s="183"/>
      <c r="F2855" s="99">
        <v>0.75</v>
      </c>
    </row>
    <row r="2856" spans="2:6" x14ac:dyDescent="0.2">
      <c r="B2856" s="101" t="s">
        <v>64</v>
      </c>
      <c r="C2856" s="30" t="s">
        <v>315</v>
      </c>
      <c r="D2856" s="101" t="s">
        <v>2100</v>
      </c>
      <c r="E2856" s="183"/>
      <c r="F2856" s="99">
        <v>7.37</v>
      </c>
    </row>
    <row r="2857" spans="2:6" x14ac:dyDescent="0.2">
      <c r="B2857" s="101" t="s">
        <v>64</v>
      </c>
      <c r="C2857" s="30" t="s">
        <v>315</v>
      </c>
      <c r="D2857" s="101" t="s">
        <v>2110</v>
      </c>
      <c r="E2857" s="183"/>
      <c r="F2857" s="99">
        <f>22.03+7.38</f>
        <v>29.41</v>
      </c>
    </row>
    <row r="2858" spans="2:6" x14ac:dyDescent="0.2">
      <c r="B2858" s="101" t="s">
        <v>64</v>
      </c>
      <c r="C2858" s="30" t="s">
        <v>315</v>
      </c>
      <c r="D2858" s="101" t="s">
        <v>2128</v>
      </c>
      <c r="E2858" s="183"/>
      <c r="F2858" s="99">
        <v>6.36</v>
      </c>
    </row>
    <row r="2859" spans="2:6" x14ac:dyDescent="0.2">
      <c r="B2859" s="101" t="s">
        <v>64</v>
      </c>
      <c r="C2859" s="30" t="s">
        <v>315</v>
      </c>
      <c r="D2859" s="101" t="s">
        <v>2152</v>
      </c>
      <c r="E2859" s="183"/>
      <c r="F2859" s="99">
        <v>15.4</v>
      </c>
    </row>
    <row r="2860" spans="2:6" x14ac:dyDescent="0.2">
      <c r="B2860" s="101" t="s">
        <v>64</v>
      </c>
      <c r="C2860" s="30" t="s">
        <v>315</v>
      </c>
      <c r="D2860" s="101">
        <v>920</v>
      </c>
      <c r="E2860" s="183"/>
      <c r="F2860" s="99">
        <v>1.22</v>
      </c>
    </row>
    <row r="2861" spans="2:6" x14ac:dyDescent="0.2">
      <c r="B2861" s="101" t="s">
        <v>64</v>
      </c>
      <c r="C2861" s="30" t="s">
        <v>1680</v>
      </c>
      <c r="D2861" s="101" t="s">
        <v>1803</v>
      </c>
      <c r="E2861" s="183"/>
      <c r="F2861" s="99">
        <v>0.08</v>
      </c>
    </row>
    <row r="2862" spans="2:6" x14ac:dyDescent="0.2">
      <c r="B2862" s="101" t="s">
        <v>64</v>
      </c>
      <c r="C2862" s="30" t="s">
        <v>1680</v>
      </c>
      <c r="D2862" s="101" t="s">
        <v>1681</v>
      </c>
      <c r="E2862" s="183"/>
      <c r="F2862" s="99"/>
    </row>
    <row r="2863" spans="2:6" x14ac:dyDescent="0.2">
      <c r="B2863" s="101" t="s">
        <v>64</v>
      </c>
      <c r="C2863" s="30" t="s">
        <v>1680</v>
      </c>
      <c r="D2863" s="101">
        <v>500</v>
      </c>
      <c r="E2863" s="183"/>
      <c r="F2863" s="99">
        <v>1.1599999999999999</v>
      </c>
    </row>
    <row r="2864" spans="2:6" x14ac:dyDescent="0.2">
      <c r="B2864" s="101" t="s">
        <v>64</v>
      </c>
      <c r="C2864" s="30" t="s">
        <v>1680</v>
      </c>
      <c r="D2864" s="101" t="s">
        <v>2557</v>
      </c>
      <c r="E2864" s="183"/>
      <c r="F2864" s="99">
        <v>1.0900000000000001</v>
      </c>
    </row>
    <row r="2865" spans="2:6" x14ac:dyDescent="0.2">
      <c r="B2865" s="101" t="s">
        <v>64</v>
      </c>
      <c r="C2865" s="30" t="s">
        <v>1680</v>
      </c>
      <c r="D2865" s="101">
        <v>580</v>
      </c>
      <c r="E2865" s="183"/>
      <c r="F2865" s="99">
        <v>0.41</v>
      </c>
    </row>
    <row r="2866" spans="2:6" x14ac:dyDescent="0.2">
      <c r="B2866" s="101" t="s">
        <v>64</v>
      </c>
      <c r="C2866" s="30" t="s">
        <v>1680</v>
      </c>
      <c r="D2866" s="101">
        <v>590</v>
      </c>
      <c r="E2866" s="25"/>
      <c r="F2866" s="99">
        <v>0.43</v>
      </c>
    </row>
    <row r="2867" spans="2:6" x14ac:dyDescent="0.2">
      <c r="B2867" s="101" t="s">
        <v>64</v>
      </c>
      <c r="C2867" s="30" t="s">
        <v>713</v>
      </c>
      <c r="D2867" s="101">
        <v>1550</v>
      </c>
      <c r="E2867" s="183"/>
      <c r="F2867" s="99"/>
    </row>
    <row r="2868" spans="2:6" x14ac:dyDescent="0.2">
      <c r="B2868" s="101" t="s">
        <v>64</v>
      </c>
      <c r="C2868" s="30" t="s">
        <v>220</v>
      </c>
      <c r="D2868" s="101">
        <v>500</v>
      </c>
      <c r="E2868" s="183"/>
      <c r="F2868" s="99">
        <v>0.3</v>
      </c>
    </row>
    <row r="2869" spans="2:6" x14ac:dyDescent="0.2">
      <c r="B2869" s="101" t="s">
        <v>64</v>
      </c>
      <c r="C2869" s="30" t="s">
        <v>220</v>
      </c>
      <c r="D2869" s="101">
        <v>780</v>
      </c>
      <c r="E2869" s="183"/>
      <c r="F2869" s="99">
        <v>2</v>
      </c>
    </row>
    <row r="2870" spans="2:6" x14ac:dyDescent="0.2">
      <c r="B2870" s="101" t="s">
        <v>64</v>
      </c>
      <c r="C2870" s="30" t="s">
        <v>221</v>
      </c>
      <c r="D2870" s="101" t="s">
        <v>1777</v>
      </c>
      <c r="E2870" s="183"/>
      <c r="F2870" s="99"/>
    </row>
    <row r="2871" spans="2:6" x14ac:dyDescent="0.2">
      <c r="B2871" s="101" t="s">
        <v>64</v>
      </c>
      <c r="C2871" s="30" t="s">
        <v>221</v>
      </c>
      <c r="D2871" s="101">
        <v>390</v>
      </c>
      <c r="E2871" s="183"/>
      <c r="F2871" s="99">
        <v>3.32</v>
      </c>
    </row>
    <row r="2872" spans="2:6" x14ac:dyDescent="0.2">
      <c r="B2872" s="101" t="s">
        <v>64</v>
      </c>
      <c r="C2872" s="30" t="s">
        <v>221</v>
      </c>
      <c r="D2872" s="101">
        <v>450</v>
      </c>
      <c r="E2872" s="183"/>
      <c r="F2872" s="99">
        <v>7.11</v>
      </c>
    </row>
    <row r="2873" spans="2:6" x14ac:dyDescent="0.2">
      <c r="B2873" s="101" t="s">
        <v>64</v>
      </c>
      <c r="C2873" s="30" t="s">
        <v>221</v>
      </c>
      <c r="D2873" s="101" t="s">
        <v>1861</v>
      </c>
      <c r="E2873" s="183"/>
      <c r="F2873" s="99">
        <v>1.5</v>
      </c>
    </row>
    <row r="2874" spans="2:6" x14ac:dyDescent="0.2">
      <c r="B2874" s="101" t="s">
        <v>64</v>
      </c>
      <c r="C2874" s="30" t="s">
        <v>221</v>
      </c>
      <c r="D2874" s="101">
        <v>490</v>
      </c>
      <c r="E2874" s="183"/>
      <c r="F2874" s="99">
        <f>0.73-0.365+0.18</f>
        <v>0.54499999999999993</v>
      </c>
    </row>
    <row r="2875" spans="2:6" x14ac:dyDescent="0.2">
      <c r="B2875" s="101" t="s">
        <v>64</v>
      </c>
      <c r="C2875" s="30" t="s">
        <v>221</v>
      </c>
      <c r="D2875" s="101">
        <v>500</v>
      </c>
      <c r="E2875" s="183"/>
      <c r="F2875" s="99">
        <v>0.18</v>
      </c>
    </row>
    <row r="2876" spans="2:6" x14ac:dyDescent="0.2">
      <c r="B2876" s="101" t="s">
        <v>64</v>
      </c>
      <c r="C2876" s="30" t="s">
        <v>221</v>
      </c>
      <c r="D2876" s="101">
        <v>520</v>
      </c>
      <c r="E2876" s="183"/>
      <c r="F2876" s="99">
        <v>5.62</v>
      </c>
    </row>
    <row r="2877" spans="2:6" x14ac:dyDescent="0.2">
      <c r="B2877" s="101" t="s">
        <v>64</v>
      </c>
      <c r="C2877" s="30" t="s">
        <v>221</v>
      </c>
      <c r="D2877" s="101">
        <v>520</v>
      </c>
      <c r="E2877" s="183"/>
      <c r="F2877" s="99">
        <v>4.57</v>
      </c>
    </row>
    <row r="2878" spans="2:6" x14ac:dyDescent="0.2">
      <c r="B2878" s="101" t="s">
        <v>64</v>
      </c>
      <c r="C2878" s="30" t="s">
        <v>221</v>
      </c>
      <c r="D2878" s="101" t="s">
        <v>2103</v>
      </c>
      <c r="E2878" s="183"/>
      <c r="F2878" s="99">
        <v>1.22</v>
      </c>
    </row>
    <row r="2879" spans="2:6" x14ac:dyDescent="0.2">
      <c r="B2879" s="78" t="s">
        <v>64</v>
      </c>
      <c r="C2879" s="174" t="s">
        <v>716</v>
      </c>
      <c r="D2879" s="2" t="s">
        <v>82</v>
      </c>
      <c r="E2879" s="77"/>
      <c r="F2879" s="39">
        <v>3.5000000000000003E-2</v>
      </c>
    </row>
    <row r="2880" spans="2:6" x14ac:dyDescent="0.2">
      <c r="B2880" s="101" t="s">
        <v>64</v>
      </c>
      <c r="C2880" s="30" t="s">
        <v>400</v>
      </c>
      <c r="D2880" s="101">
        <v>400</v>
      </c>
      <c r="E2880" s="183"/>
      <c r="F2880" s="99">
        <v>6.16</v>
      </c>
    </row>
    <row r="2881" spans="2:6" x14ac:dyDescent="0.2">
      <c r="B2881" s="101" t="s">
        <v>64</v>
      </c>
      <c r="C2881" s="30" t="s">
        <v>400</v>
      </c>
      <c r="D2881" s="101">
        <v>450</v>
      </c>
      <c r="E2881" s="183"/>
      <c r="F2881" s="99">
        <v>7.53</v>
      </c>
    </row>
    <row r="2882" spans="2:6" x14ac:dyDescent="0.2">
      <c r="B2882" s="101" t="s">
        <v>64</v>
      </c>
      <c r="C2882" s="30" t="s">
        <v>400</v>
      </c>
      <c r="D2882" s="101">
        <v>480</v>
      </c>
      <c r="E2882" s="183"/>
      <c r="F2882" s="99">
        <v>7.46</v>
      </c>
    </row>
    <row r="2883" spans="2:6" x14ac:dyDescent="0.2">
      <c r="B2883" s="101" t="s">
        <v>64</v>
      </c>
      <c r="C2883" s="30" t="s">
        <v>400</v>
      </c>
      <c r="D2883" s="101">
        <v>550</v>
      </c>
      <c r="E2883" s="183"/>
      <c r="F2883" s="99">
        <v>6.82</v>
      </c>
    </row>
    <row r="2884" spans="2:6" x14ac:dyDescent="0.2">
      <c r="B2884" s="101" t="s">
        <v>64</v>
      </c>
      <c r="C2884" s="30" t="s">
        <v>1876</v>
      </c>
      <c r="D2884" s="101" t="s">
        <v>1875</v>
      </c>
      <c r="E2884" s="25"/>
      <c r="F2884" s="99">
        <f>0.6+2.13</f>
        <v>2.73</v>
      </c>
    </row>
    <row r="2885" spans="2:6" x14ac:dyDescent="0.2">
      <c r="B2885" s="101" t="s">
        <v>64</v>
      </c>
      <c r="C2885" s="30" t="s">
        <v>1853</v>
      </c>
      <c r="D2885" s="101">
        <v>440</v>
      </c>
      <c r="E2885" s="183"/>
      <c r="F2885" s="99">
        <v>0.25</v>
      </c>
    </row>
    <row r="2886" spans="2:6" x14ac:dyDescent="0.2">
      <c r="B2886" s="101" t="s">
        <v>64</v>
      </c>
      <c r="C2886" s="30" t="s">
        <v>218</v>
      </c>
      <c r="D2886" s="101">
        <v>460</v>
      </c>
      <c r="E2886" s="25"/>
      <c r="F2886" s="99">
        <v>0.28000000000000003</v>
      </c>
    </row>
    <row r="2887" spans="2:6" x14ac:dyDescent="0.2">
      <c r="B2887" s="78" t="s">
        <v>64</v>
      </c>
      <c r="C2887" s="174" t="s">
        <v>307</v>
      </c>
      <c r="D2887" s="2" t="s">
        <v>70</v>
      </c>
      <c r="E2887" s="77"/>
      <c r="F2887" s="39">
        <v>0.01</v>
      </c>
    </row>
    <row r="2888" spans="2:6" x14ac:dyDescent="0.2">
      <c r="B2888" s="101" t="s">
        <v>64</v>
      </c>
      <c r="C2888" s="30" t="s">
        <v>1854</v>
      </c>
      <c r="D2888" s="101">
        <v>440</v>
      </c>
      <c r="E2888" s="183"/>
      <c r="F2888" s="99">
        <v>7.34</v>
      </c>
    </row>
    <row r="2889" spans="2:6" x14ac:dyDescent="0.2">
      <c r="B2889" s="101" t="s">
        <v>64</v>
      </c>
      <c r="C2889" s="30" t="s">
        <v>307</v>
      </c>
      <c r="D2889" s="101">
        <v>460</v>
      </c>
      <c r="E2889" s="25"/>
      <c r="F2889" s="99">
        <v>7.53</v>
      </c>
    </row>
    <row r="2890" spans="2:6" x14ac:dyDescent="0.2">
      <c r="B2890" s="101" t="s">
        <v>64</v>
      </c>
      <c r="C2890" s="30" t="s">
        <v>307</v>
      </c>
      <c r="D2890" s="101">
        <v>470</v>
      </c>
      <c r="E2890" s="183"/>
      <c r="F2890" s="99">
        <v>7.52</v>
      </c>
    </row>
    <row r="2891" spans="2:6" x14ac:dyDescent="0.2">
      <c r="B2891" s="101" t="s">
        <v>64</v>
      </c>
      <c r="C2891" s="30" t="s">
        <v>1922</v>
      </c>
      <c r="D2891" s="101" t="s">
        <v>2545</v>
      </c>
      <c r="E2891" s="183"/>
      <c r="F2891" s="99">
        <v>0.76</v>
      </c>
    </row>
    <row r="2892" spans="2:6" x14ac:dyDescent="0.2">
      <c r="B2892" s="101" t="s">
        <v>64</v>
      </c>
      <c r="C2892" s="30" t="s">
        <v>1922</v>
      </c>
      <c r="D2892" s="101" t="s">
        <v>1923</v>
      </c>
      <c r="E2892" s="183"/>
      <c r="F2892" s="99">
        <v>0.4</v>
      </c>
    </row>
    <row r="2893" spans="2:6" x14ac:dyDescent="0.2">
      <c r="B2893" s="101" t="s">
        <v>64</v>
      </c>
      <c r="C2893" s="30" t="s">
        <v>697</v>
      </c>
      <c r="D2893" s="101">
        <v>410</v>
      </c>
      <c r="E2893" s="183"/>
      <c r="F2893" s="99">
        <v>0.66</v>
      </c>
    </row>
    <row r="2894" spans="2:6" x14ac:dyDescent="0.2">
      <c r="B2894" s="101" t="s">
        <v>64</v>
      </c>
      <c r="C2894" s="30" t="s">
        <v>697</v>
      </c>
      <c r="D2894" s="101">
        <v>600</v>
      </c>
      <c r="E2894" s="183"/>
      <c r="F2894" s="99">
        <f>2.34-0.37-0.385-0.18</f>
        <v>1.4049999999999998</v>
      </c>
    </row>
    <row r="2895" spans="2:6" x14ac:dyDescent="0.2">
      <c r="B2895" s="101" t="s">
        <v>64</v>
      </c>
      <c r="C2895" s="30" t="s">
        <v>1431</v>
      </c>
      <c r="D2895" s="101">
        <v>1560</v>
      </c>
      <c r="E2895" s="183"/>
      <c r="F2895" s="99">
        <v>7.93</v>
      </c>
    </row>
    <row r="2896" spans="2:6" x14ac:dyDescent="0.2">
      <c r="B2896" s="101" t="s">
        <v>64</v>
      </c>
      <c r="C2896" s="30" t="s">
        <v>2030</v>
      </c>
      <c r="D2896" s="101" t="s">
        <v>2031</v>
      </c>
      <c r="E2896" s="183"/>
      <c r="F2896" s="99">
        <v>0.6</v>
      </c>
    </row>
    <row r="2897" spans="2:6" x14ac:dyDescent="0.2">
      <c r="B2897" s="101" t="s">
        <v>64</v>
      </c>
      <c r="C2897" s="30" t="s">
        <v>2030</v>
      </c>
      <c r="D2897" s="101" t="s">
        <v>2032</v>
      </c>
      <c r="E2897" s="183"/>
      <c r="F2897" s="99">
        <v>0.57999999999999996</v>
      </c>
    </row>
    <row r="2898" spans="2:6" x14ac:dyDescent="0.2">
      <c r="B2898" s="78" t="s">
        <v>64</v>
      </c>
      <c r="C2898" s="174" t="s">
        <v>637</v>
      </c>
      <c r="D2898" s="2" t="s">
        <v>83</v>
      </c>
      <c r="E2898" s="77"/>
      <c r="F2898" s="39">
        <v>1.1000000000000001</v>
      </c>
    </row>
    <row r="2899" spans="2:6" x14ac:dyDescent="0.2">
      <c r="B2899" s="101" t="s">
        <v>64</v>
      </c>
      <c r="C2899" s="30" t="s">
        <v>637</v>
      </c>
      <c r="D2899" s="101" t="s">
        <v>1768</v>
      </c>
      <c r="E2899" s="183"/>
      <c r="F2899" s="99">
        <v>0.2</v>
      </c>
    </row>
    <row r="2900" spans="2:6" x14ac:dyDescent="0.2">
      <c r="B2900" s="101" t="s">
        <v>64</v>
      </c>
      <c r="C2900" s="30" t="s">
        <v>1539</v>
      </c>
      <c r="D2900" s="101">
        <v>400</v>
      </c>
      <c r="E2900" s="183"/>
      <c r="F2900" s="99">
        <v>2.29</v>
      </c>
    </row>
    <row r="2901" spans="2:6" x14ac:dyDescent="0.2">
      <c r="B2901" s="101" t="s">
        <v>64</v>
      </c>
      <c r="C2901" s="30" t="s">
        <v>1539</v>
      </c>
      <c r="D2901" s="101">
        <v>450</v>
      </c>
      <c r="E2901" s="183"/>
      <c r="F2901" s="99">
        <v>2.0299999999999998</v>
      </c>
    </row>
    <row r="2902" spans="2:6" x14ac:dyDescent="0.2">
      <c r="B2902" s="101" t="s">
        <v>64</v>
      </c>
      <c r="C2902" s="30" t="s">
        <v>1539</v>
      </c>
      <c r="D2902" s="101">
        <v>500</v>
      </c>
      <c r="E2902" s="183"/>
      <c r="F2902" s="99">
        <v>1.23</v>
      </c>
    </row>
    <row r="2903" spans="2:6" x14ac:dyDescent="0.2">
      <c r="B2903" s="101" t="s">
        <v>64</v>
      </c>
      <c r="C2903" s="30" t="s">
        <v>1130</v>
      </c>
      <c r="D2903" s="101">
        <v>1250</v>
      </c>
      <c r="E2903" s="183"/>
      <c r="F2903" s="99">
        <v>4.4000000000000004</v>
      </c>
    </row>
    <row r="2904" spans="2:6" x14ac:dyDescent="0.2">
      <c r="B2904" s="101" t="s">
        <v>64</v>
      </c>
      <c r="C2904" s="30" t="s">
        <v>1130</v>
      </c>
      <c r="D2904" s="101">
        <v>1250</v>
      </c>
      <c r="E2904" s="183"/>
      <c r="F2904" s="99">
        <v>8.25</v>
      </c>
    </row>
    <row r="2905" spans="2:6" x14ac:dyDescent="0.2">
      <c r="B2905" s="101" t="s">
        <v>64</v>
      </c>
      <c r="C2905" s="30" t="s">
        <v>1614</v>
      </c>
      <c r="D2905" s="101" t="s">
        <v>1765</v>
      </c>
      <c r="E2905" s="183"/>
      <c r="F2905" s="99">
        <v>0.21</v>
      </c>
    </row>
    <row r="2906" spans="2:6" x14ac:dyDescent="0.2">
      <c r="B2906" s="101" t="s">
        <v>64</v>
      </c>
      <c r="C2906" s="30" t="s">
        <v>1614</v>
      </c>
      <c r="D2906" s="101" t="s">
        <v>1766</v>
      </c>
      <c r="E2906" s="183"/>
      <c r="F2906" s="99">
        <v>0.16</v>
      </c>
    </row>
    <row r="2907" spans="2:6" x14ac:dyDescent="0.2">
      <c r="B2907" s="101" t="s">
        <v>64</v>
      </c>
      <c r="C2907" s="30" t="s">
        <v>1868</v>
      </c>
      <c r="D2907" s="101" t="s">
        <v>1869</v>
      </c>
      <c r="E2907" s="25"/>
      <c r="F2907" s="99">
        <v>6.45</v>
      </c>
    </row>
    <row r="2908" spans="2:6" x14ac:dyDescent="0.2">
      <c r="B2908" s="101" t="s">
        <v>64</v>
      </c>
      <c r="C2908" s="30" t="s">
        <v>1868</v>
      </c>
      <c r="D2908" s="101" t="s">
        <v>1870</v>
      </c>
      <c r="E2908" s="25"/>
      <c r="F2908" s="99">
        <v>6.58</v>
      </c>
    </row>
    <row r="2909" spans="2:6" x14ac:dyDescent="0.2">
      <c r="B2909" s="101" t="s">
        <v>64</v>
      </c>
      <c r="C2909" s="30" t="s">
        <v>1614</v>
      </c>
      <c r="D2909" s="101" t="s">
        <v>1888</v>
      </c>
      <c r="E2909" s="25"/>
      <c r="F2909" s="99">
        <v>0.17</v>
      </c>
    </row>
    <row r="2910" spans="2:6" x14ac:dyDescent="0.2">
      <c r="B2910" s="101" t="s">
        <v>64</v>
      </c>
      <c r="C2910" s="30" t="s">
        <v>1614</v>
      </c>
      <c r="D2910" s="101" t="s">
        <v>1889</v>
      </c>
      <c r="E2910" s="25"/>
      <c r="F2910" s="99"/>
    </row>
    <row r="2911" spans="2:6" x14ac:dyDescent="0.2">
      <c r="B2911" s="101" t="s">
        <v>64</v>
      </c>
      <c r="C2911" s="30" t="s">
        <v>1614</v>
      </c>
      <c r="D2911" s="101" t="s">
        <v>1906</v>
      </c>
      <c r="E2911" s="25"/>
      <c r="F2911" s="99">
        <v>0.75</v>
      </c>
    </row>
    <row r="2912" spans="2:6" x14ac:dyDescent="0.2">
      <c r="B2912" s="101" t="s">
        <v>64</v>
      </c>
      <c r="C2912" s="30" t="s">
        <v>1614</v>
      </c>
      <c r="D2912" s="101" t="s">
        <v>1932</v>
      </c>
      <c r="E2912" s="183"/>
      <c r="F2912" s="99">
        <v>6.45</v>
      </c>
    </row>
    <row r="2913" spans="2:6" x14ac:dyDescent="0.2">
      <c r="B2913" s="101" t="s">
        <v>64</v>
      </c>
      <c r="C2913" s="30" t="s">
        <v>1614</v>
      </c>
      <c r="D2913" s="101" t="s">
        <v>1940</v>
      </c>
      <c r="E2913" s="183"/>
      <c r="F2913" s="99">
        <v>6.58</v>
      </c>
    </row>
    <row r="2914" spans="2:6" x14ac:dyDescent="0.2">
      <c r="B2914" s="101" t="s">
        <v>64</v>
      </c>
      <c r="C2914" s="30" t="s">
        <v>1614</v>
      </c>
      <c r="D2914" s="101" t="s">
        <v>2255</v>
      </c>
      <c r="E2914" s="183"/>
      <c r="F2914" s="99">
        <v>0.93</v>
      </c>
    </row>
    <row r="2915" spans="2:6" x14ac:dyDescent="0.2">
      <c r="B2915" s="101" t="s">
        <v>64</v>
      </c>
      <c r="C2915" s="30" t="s">
        <v>1614</v>
      </c>
      <c r="D2915" s="101" t="s">
        <v>2262</v>
      </c>
      <c r="E2915" s="183"/>
      <c r="F2915" s="99">
        <v>1</v>
      </c>
    </row>
    <row r="2916" spans="2:6" x14ac:dyDescent="0.2">
      <c r="B2916" s="101" t="s">
        <v>64</v>
      </c>
      <c r="C2916" s="30" t="s">
        <v>773</v>
      </c>
      <c r="D2916" s="101" t="s">
        <v>1811</v>
      </c>
      <c r="E2916" s="183"/>
      <c r="F2916" s="99">
        <v>0.14000000000000001</v>
      </c>
    </row>
    <row r="2917" spans="2:6" x14ac:dyDescent="0.2">
      <c r="B2917" s="101" t="s">
        <v>64</v>
      </c>
      <c r="C2917" s="30" t="s">
        <v>773</v>
      </c>
      <c r="D2917" s="101">
        <v>400</v>
      </c>
      <c r="E2917" s="183"/>
      <c r="F2917" s="99">
        <v>0.11</v>
      </c>
    </row>
    <row r="2918" spans="2:6" x14ac:dyDescent="0.2">
      <c r="B2918" s="101" t="s">
        <v>64</v>
      </c>
      <c r="C2918" s="30" t="s">
        <v>773</v>
      </c>
      <c r="D2918" s="101">
        <v>410</v>
      </c>
      <c r="E2918" s="183"/>
      <c r="F2918" s="99">
        <f>5.41+3.5</f>
        <v>8.91</v>
      </c>
    </row>
    <row r="2919" spans="2:6" x14ac:dyDescent="0.2">
      <c r="B2919" s="101" t="s">
        <v>64</v>
      </c>
      <c r="C2919" s="30" t="s">
        <v>773</v>
      </c>
      <c r="D2919" s="101">
        <v>410</v>
      </c>
      <c r="E2919" s="183"/>
      <c r="F2919" s="99">
        <v>0.435</v>
      </c>
    </row>
    <row r="2920" spans="2:6" x14ac:dyDescent="0.2">
      <c r="B2920" s="101" t="s">
        <v>64</v>
      </c>
      <c r="C2920" s="30" t="s">
        <v>773</v>
      </c>
      <c r="D2920" s="101">
        <v>420</v>
      </c>
      <c r="E2920" s="183"/>
      <c r="F2920" s="99">
        <v>0.12</v>
      </c>
    </row>
    <row r="2921" spans="2:6" x14ac:dyDescent="0.2">
      <c r="B2921" s="101" t="s">
        <v>64</v>
      </c>
      <c r="C2921" s="30" t="s">
        <v>773</v>
      </c>
      <c r="D2921" s="101">
        <v>430</v>
      </c>
      <c r="E2921" s="183"/>
      <c r="F2921" s="99">
        <v>0.315</v>
      </c>
    </row>
    <row r="2922" spans="2:6" x14ac:dyDescent="0.2">
      <c r="B2922" s="101" t="s">
        <v>64</v>
      </c>
      <c r="C2922" s="30" t="s">
        <v>773</v>
      </c>
      <c r="D2922" s="101">
        <v>500</v>
      </c>
      <c r="E2922" s="183"/>
      <c r="F2922" s="99">
        <v>0.22</v>
      </c>
    </row>
    <row r="2923" spans="2:6" x14ac:dyDescent="0.2">
      <c r="B2923" s="101" t="s">
        <v>64</v>
      </c>
      <c r="C2923" s="30" t="s">
        <v>773</v>
      </c>
      <c r="D2923" s="101">
        <v>500</v>
      </c>
      <c r="E2923" s="183"/>
      <c r="F2923" s="99">
        <v>0.57999999999999996</v>
      </c>
    </row>
    <row r="2924" spans="2:6" x14ac:dyDescent="0.2">
      <c r="B2924" s="101" t="s">
        <v>64</v>
      </c>
      <c r="C2924" s="30" t="s">
        <v>773</v>
      </c>
      <c r="D2924" s="101">
        <v>520</v>
      </c>
      <c r="E2924" s="183"/>
      <c r="F2924" s="99">
        <v>0.87</v>
      </c>
    </row>
    <row r="2925" spans="2:6" x14ac:dyDescent="0.2">
      <c r="B2925" s="101" t="s">
        <v>64</v>
      </c>
      <c r="C2925" s="30" t="s">
        <v>773</v>
      </c>
      <c r="D2925" s="101">
        <v>580</v>
      </c>
      <c r="E2925" s="183"/>
      <c r="F2925" s="99">
        <v>0.72</v>
      </c>
    </row>
    <row r="2926" spans="2:6" x14ac:dyDescent="0.2">
      <c r="B2926" s="101" t="s">
        <v>64</v>
      </c>
      <c r="C2926" s="30" t="s">
        <v>773</v>
      </c>
      <c r="D2926" s="101">
        <v>600</v>
      </c>
      <c r="E2926" s="183"/>
      <c r="F2926" s="99">
        <v>0.28999999999999998</v>
      </c>
    </row>
    <row r="2927" spans="2:6" x14ac:dyDescent="0.2">
      <c r="B2927" s="101" t="s">
        <v>64</v>
      </c>
      <c r="C2927" s="30" t="s">
        <v>773</v>
      </c>
      <c r="D2927" s="101">
        <v>600</v>
      </c>
      <c r="E2927" s="183"/>
      <c r="F2927" s="99">
        <v>0.8</v>
      </c>
    </row>
    <row r="2928" spans="2:6" x14ac:dyDescent="0.2">
      <c r="B2928" s="101" t="s">
        <v>64</v>
      </c>
      <c r="C2928" s="30" t="s">
        <v>773</v>
      </c>
      <c r="D2928" s="101">
        <v>600</v>
      </c>
      <c r="E2928" s="183"/>
      <c r="F2928" s="99">
        <v>1.68</v>
      </c>
    </row>
    <row r="2929" spans="2:6" x14ac:dyDescent="0.2">
      <c r="B2929" s="101" t="s">
        <v>64</v>
      </c>
      <c r="C2929" s="30" t="s">
        <v>773</v>
      </c>
      <c r="D2929" s="101">
        <v>620</v>
      </c>
      <c r="E2929" s="183"/>
      <c r="F2929" s="99">
        <v>0.4</v>
      </c>
    </row>
    <row r="2930" spans="2:6" x14ac:dyDescent="0.2">
      <c r="B2930" s="101" t="s">
        <v>64</v>
      </c>
      <c r="C2930" s="30" t="s">
        <v>773</v>
      </c>
      <c r="D2930" s="101">
        <v>630</v>
      </c>
      <c r="E2930" s="25"/>
      <c r="F2930" s="99">
        <v>0.6</v>
      </c>
    </row>
    <row r="2931" spans="2:6" x14ac:dyDescent="0.2">
      <c r="B2931" s="101" t="s">
        <v>64</v>
      </c>
      <c r="C2931" s="30" t="s">
        <v>773</v>
      </c>
      <c r="D2931" s="101">
        <v>630</v>
      </c>
      <c r="E2931" s="25"/>
      <c r="F2931" s="99">
        <v>0.37</v>
      </c>
    </row>
    <row r="2932" spans="2:6" x14ac:dyDescent="0.2">
      <c r="B2932" s="101" t="s">
        <v>64</v>
      </c>
      <c r="C2932" s="30" t="s">
        <v>2023</v>
      </c>
      <c r="D2932" s="101">
        <v>640</v>
      </c>
      <c r="E2932" s="25"/>
      <c r="F2932" s="99">
        <v>0.65</v>
      </c>
    </row>
    <row r="2933" spans="2:6" x14ac:dyDescent="0.2">
      <c r="B2933" s="101" t="s">
        <v>64</v>
      </c>
      <c r="C2933" s="30" t="s">
        <v>2033</v>
      </c>
      <c r="D2933" s="101">
        <v>650</v>
      </c>
      <c r="E2933" s="183"/>
      <c r="F2933" s="99">
        <v>0.65</v>
      </c>
    </row>
    <row r="2934" spans="2:6" x14ac:dyDescent="0.2">
      <c r="B2934" s="101" t="s">
        <v>64</v>
      </c>
      <c r="C2934" s="30" t="s">
        <v>414</v>
      </c>
      <c r="D2934" s="101">
        <v>430</v>
      </c>
      <c r="E2934" s="183"/>
      <c r="F2934" s="99">
        <v>0.18</v>
      </c>
    </row>
    <row r="2935" spans="2:6" x14ac:dyDescent="0.2">
      <c r="B2935" s="101" t="s">
        <v>64</v>
      </c>
      <c r="C2935" s="30" t="s">
        <v>1883</v>
      </c>
      <c r="D2935" s="101">
        <v>460</v>
      </c>
      <c r="E2935" s="183"/>
      <c r="F2935" s="99">
        <v>0.67500000000000004</v>
      </c>
    </row>
    <row r="2936" spans="2:6" x14ac:dyDescent="0.2">
      <c r="B2936" s="30" t="s">
        <v>64</v>
      </c>
      <c r="C2936" s="30" t="s">
        <v>212</v>
      </c>
      <c r="D2936" s="30" t="s">
        <v>481</v>
      </c>
      <c r="E2936" s="101"/>
      <c r="F2936" s="99">
        <v>0.11600000000000001</v>
      </c>
    </row>
    <row r="2937" spans="2:6" x14ac:dyDescent="0.2">
      <c r="B2937" s="30" t="s">
        <v>64</v>
      </c>
      <c r="C2937" s="30" t="s">
        <v>212</v>
      </c>
      <c r="D2937" s="30" t="s">
        <v>482</v>
      </c>
      <c r="E2937" s="101"/>
      <c r="F2937" s="99">
        <v>0.126</v>
      </c>
    </row>
    <row r="2938" spans="2:6" x14ac:dyDescent="0.2">
      <c r="B2938" s="30" t="s">
        <v>64</v>
      </c>
      <c r="C2938" s="30" t="s">
        <v>212</v>
      </c>
      <c r="D2938" s="30" t="s">
        <v>483</v>
      </c>
      <c r="E2938" s="101"/>
      <c r="F2938" s="34">
        <f>(0.384)-0.206</f>
        <v>0.17800000000000002</v>
      </c>
    </row>
    <row r="2939" spans="2:6" x14ac:dyDescent="0.2">
      <c r="B2939" s="101" t="s">
        <v>64</v>
      </c>
      <c r="C2939" s="30" t="s">
        <v>212</v>
      </c>
      <c r="D2939" s="101">
        <v>360</v>
      </c>
      <c r="E2939" s="183"/>
      <c r="F2939" s="99">
        <v>9.1999999999999993</v>
      </c>
    </row>
    <row r="2940" spans="2:6" x14ac:dyDescent="0.2">
      <c r="B2940" s="101" t="s">
        <v>64</v>
      </c>
      <c r="C2940" s="30" t="s">
        <v>212</v>
      </c>
      <c r="D2940" s="101">
        <v>360</v>
      </c>
      <c r="E2940" s="183"/>
      <c r="F2940" s="99">
        <v>4.5</v>
      </c>
    </row>
    <row r="2941" spans="2:6" x14ac:dyDescent="0.2">
      <c r="B2941" s="101" t="s">
        <v>64</v>
      </c>
      <c r="C2941" s="30" t="s">
        <v>212</v>
      </c>
      <c r="D2941" s="101">
        <v>370</v>
      </c>
      <c r="E2941" s="183"/>
      <c r="F2941" s="99">
        <v>1.63</v>
      </c>
    </row>
    <row r="2942" spans="2:6" x14ac:dyDescent="0.2">
      <c r="B2942" s="101" t="s">
        <v>64</v>
      </c>
      <c r="C2942" s="30" t="s">
        <v>212</v>
      </c>
      <c r="D2942" s="101">
        <v>370</v>
      </c>
      <c r="E2942" s="183"/>
      <c r="F2942" s="99">
        <v>0.06</v>
      </c>
    </row>
    <row r="2943" spans="2:6" x14ac:dyDescent="0.2">
      <c r="B2943" s="101" t="s">
        <v>64</v>
      </c>
      <c r="C2943" s="30" t="s">
        <v>212</v>
      </c>
      <c r="D2943" s="101">
        <v>380</v>
      </c>
      <c r="E2943" s="183"/>
      <c r="F2943" s="99">
        <v>4.7300000000000004</v>
      </c>
    </row>
    <row r="2944" spans="2:6" x14ac:dyDescent="0.2">
      <c r="B2944" s="101" t="s">
        <v>64</v>
      </c>
      <c r="C2944" s="30" t="s">
        <v>212</v>
      </c>
      <c r="D2944" s="101">
        <v>380</v>
      </c>
      <c r="E2944" s="183"/>
      <c r="F2944" s="99">
        <v>4.03</v>
      </c>
    </row>
    <row r="2945" spans="2:6" x14ac:dyDescent="0.2">
      <c r="B2945" s="101" t="s">
        <v>64</v>
      </c>
      <c r="C2945" s="30" t="s">
        <v>212</v>
      </c>
      <c r="D2945" s="101" t="s">
        <v>1796</v>
      </c>
      <c r="E2945" s="183"/>
      <c r="F2945" s="99">
        <v>2.44</v>
      </c>
    </row>
    <row r="2946" spans="2:6" x14ac:dyDescent="0.2">
      <c r="B2946" s="101" t="s">
        <v>64</v>
      </c>
      <c r="C2946" s="30" t="s">
        <v>212</v>
      </c>
      <c r="D2946" s="101">
        <v>380</v>
      </c>
      <c r="E2946" s="183"/>
      <c r="F2946" s="99">
        <v>0.5</v>
      </c>
    </row>
    <row r="2947" spans="2:6" x14ac:dyDescent="0.2">
      <c r="B2947" s="101" t="s">
        <v>64</v>
      </c>
      <c r="C2947" s="30" t="s">
        <v>212</v>
      </c>
      <c r="D2947" s="101" t="s">
        <v>1796</v>
      </c>
      <c r="E2947" s="183"/>
      <c r="F2947" s="99">
        <v>2.44</v>
      </c>
    </row>
    <row r="2948" spans="2:6" x14ac:dyDescent="0.2">
      <c r="B2948" s="101" t="s">
        <v>64</v>
      </c>
      <c r="C2948" s="30" t="s">
        <v>212</v>
      </c>
      <c r="D2948" s="101">
        <v>390</v>
      </c>
      <c r="E2948" s="183"/>
      <c r="F2948" s="99">
        <v>0.1</v>
      </c>
    </row>
    <row r="2949" spans="2:6" x14ac:dyDescent="0.2">
      <c r="B2949" s="101" t="s">
        <v>64</v>
      </c>
      <c r="C2949" s="30" t="s">
        <v>212</v>
      </c>
      <c r="D2949" s="101">
        <v>400</v>
      </c>
      <c r="E2949" s="183"/>
      <c r="F2949" s="99">
        <v>9.6</v>
      </c>
    </row>
    <row r="2950" spans="2:6" x14ac:dyDescent="0.2">
      <c r="B2950" s="101" t="s">
        <v>64</v>
      </c>
      <c r="C2950" s="30" t="s">
        <v>212</v>
      </c>
      <c r="D2950" s="101">
        <v>400</v>
      </c>
      <c r="E2950" s="183"/>
      <c r="F2950" s="99">
        <v>0.48</v>
      </c>
    </row>
    <row r="2951" spans="2:6" x14ac:dyDescent="0.2">
      <c r="B2951" s="101" t="s">
        <v>64</v>
      </c>
      <c r="C2951" s="30" t="s">
        <v>212</v>
      </c>
      <c r="D2951" s="101">
        <v>400</v>
      </c>
      <c r="E2951" s="183"/>
      <c r="F2951" s="99">
        <v>0.08</v>
      </c>
    </row>
    <row r="2952" spans="2:6" x14ac:dyDescent="0.2">
      <c r="B2952" s="101" t="s">
        <v>64</v>
      </c>
      <c r="C2952" s="30" t="s">
        <v>212</v>
      </c>
      <c r="D2952" s="101">
        <v>410</v>
      </c>
      <c r="E2952" s="183"/>
      <c r="F2952" s="99">
        <v>1.68</v>
      </c>
    </row>
    <row r="2953" spans="2:6" x14ac:dyDescent="0.2">
      <c r="B2953" s="101" t="s">
        <v>64</v>
      </c>
      <c r="C2953" s="30" t="s">
        <v>212</v>
      </c>
      <c r="D2953" s="101">
        <v>430</v>
      </c>
      <c r="E2953" s="183"/>
      <c r="F2953" s="99">
        <v>5.82</v>
      </c>
    </row>
    <row r="2954" spans="2:6" x14ac:dyDescent="0.2">
      <c r="B2954" s="101" t="s">
        <v>64</v>
      </c>
      <c r="C2954" s="30" t="s">
        <v>212</v>
      </c>
      <c r="D2954" s="101">
        <v>430</v>
      </c>
      <c r="E2954" s="25"/>
      <c r="F2954" s="99">
        <v>0.56999999999999995</v>
      </c>
    </row>
    <row r="2955" spans="2:6" x14ac:dyDescent="0.2">
      <c r="B2955" s="101" t="s">
        <v>64</v>
      </c>
      <c r="C2955" s="30" t="s">
        <v>212</v>
      </c>
      <c r="D2955" s="101">
        <v>450</v>
      </c>
      <c r="E2955" s="183"/>
      <c r="F2955" s="99">
        <v>4.1900000000000004</v>
      </c>
    </row>
    <row r="2956" spans="2:6" x14ac:dyDescent="0.2">
      <c r="B2956" s="101" t="s">
        <v>64</v>
      </c>
      <c r="C2956" s="30" t="s">
        <v>212</v>
      </c>
      <c r="D2956" s="101" t="s">
        <v>1866</v>
      </c>
      <c r="E2956" s="183"/>
      <c r="F2956" s="99">
        <v>0.14000000000000001</v>
      </c>
    </row>
    <row r="2957" spans="2:6" x14ac:dyDescent="0.2">
      <c r="B2957" s="101" t="s">
        <v>64</v>
      </c>
      <c r="C2957" s="30" t="s">
        <v>212</v>
      </c>
      <c r="D2957" s="101">
        <v>460</v>
      </c>
      <c r="E2957" s="183"/>
      <c r="F2957" s="99">
        <v>7</v>
      </c>
    </row>
    <row r="2958" spans="2:6" x14ac:dyDescent="0.2">
      <c r="B2958" s="101" t="s">
        <v>64</v>
      </c>
      <c r="C2958" s="30" t="s">
        <v>212</v>
      </c>
      <c r="D2958" s="101" t="s">
        <v>1873</v>
      </c>
      <c r="E2958" s="183"/>
      <c r="F2958" s="99">
        <v>0.19</v>
      </c>
    </row>
    <row r="2959" spans="2:6" x14ac:dyDescent="0.2">
      <c r="B2959" s="101" t="s">
        <v>64</v>
      </c>
      <c r="C2959" s="30" t="s">
        <v>212</v>
      </c>
      <c r="D2959" s="101">
        <v>470</v>
      </c>
      <c r="E2959" s="183"/>
      <c r="F2959" s="99">
        <v>7.0000000000000007E-2</v>
      </c>
    </row>
    <row r="2960" spans="2:6" x14ac:dyDescent="0.2">
      <c r="B2960" s="101" t="s">
        <v>64</v>
      </c>
      <c r="C2960" s="30" t="s">
        <v>212</v>
      </c>
      <c r="D2960" s="101">
        <v>480</v>
      </c>
      <c r="E2960" s="183"/>
      <c r="F2960" s="99">
        <f>1.9+0.065</f>
        <v>1.9649999999999999</v>
      </c>
    </row>
    <row r="2961" spans="2:6" x14ac:dyDescent="0.2">
      <c r="B2961" s="101" t="s">
        <v>64</v>
      </c>
      <c r="C2961" s="30" t="s">
        <v>212</v>
      </c>
      <c r="D2961" s="101">
        <v>500</v>
      </c>
      <c r="E2961" s="183"/>
      <c r="F2961" s="99">
        <v>14</v>
      </c>
    </row>
    <row r="2962" spans="2:6" x14ac:dyDescent="0.2">
      <c r="B2962" s="101" t="s">
        <v>64</v>
      </c>
      <c r="C2962" s="30" t="s">
        <v>212</v>
      </c>
      <c r="D2962" s="101">
        <v>500</v>
      </c>
      <c r="E2962" s="183"/>
      <c r="F2962" s="99">
        <v>7.02</v>
      </c>
    </row>
    <row r="2963" spans="2:6" x14ac:dyDescent="0.2">
      <c r="B2963" s="101" t="s">
        <v>64</v>
      </c>
      <c r="C2963" s="30" t="s">
        <v>212</v>
      </c>
      <c r="D2963" s="101">
        <v>500</v>
      </c>
      <c r="E2963" s="183"/>
      <c r="F2963" s="99">
        <f>4.54+0.5</f>
        <v>5.04</v>
      </c>
    </row>
    <row r="2964" spans="2:6" x14ac:dyDescent="0.2">
      <c r="B2964" s="101" t="s">
        <v>64</v>
      </c>
      <c r="C2964" s="30" t="s">
        <v>212</v>
      </c>
      <c r="D2964" s="101">
        <v>500</v>
      </c>
      <c r="E2964" s="183"/>
      <c r="F2964" s="99">
        <v>0.93</v>
      </c>
    </row>
    <row r="2965" spans="2:6" x14ac:dyDescent="0.2">
      <c r="B2965" s="101" t="s">
        <v>64</v>
      </c>
      <c r="C2965" s="30" t="s">
        <v>212</v>
      </c>
      <c r="D2965" s="101">
        <v>510</v>
      </c>
      <c r="E2965" s="183"/>
      <c r="F2965" s="99"/>
    </row>
    <row r="2966" spans="2:6" x14ac:dyDescent="0.2">
      <c r="B2966" s="101" t="s">
        <v>64</v>
      </c>
      <c r="C2966" s="30" t="s">
        <v>212</v>
      </c>
      <c r="D2966" s="101">
        <v>560</v>
      </c>
      <c r="E2966" s="183"/>
      <c r="F2966" s="99">
        <v>3.22</v>
      </c>
    </row>
    <row r="2967" spans="2:6" x14ac:dyDescent="0.2">
      <c r="B2967" s="101" t="s">
        <v>64</v>
      </c>
      <c r="C2967" s="30" t="s">
        <v>212</v>
      </c>
      <c r="D2967" s="101">
        <v>770</v>
      </c>
      <c r="E2967" s="25"/>
      <c r="F2967" s="99">
        <v>4.26</v>
      </c>
    </row>
    <row r="2968" spans="2:6" x14ac:dyDescent="0.2">
      <c r="B2968" s="30" t="s">
        <v>64</v>
      </c>
      <c r="C2968" s="30" t="s">
        <v>484</v>
      </c>
      <c r="D2968" s="30" t="s">
        <v>485</v>
      </c>
      <c r="E2968" s="101"/>
      <c r="F2968" s="99">
        <f>(0.63)-0.024-(0.022)-0.09</f>
        <v>0.49399999999999999</v>
      </c>
    </row>
    <row r="2969" spans="2:6" x14ac:dyDescent="0.2">
      <c r="B2969" s="101" t="s">
        <v>64</v>
      </c>
      <c r="C2969" s="30" t="s">
        <v>2092</v>
      </c>
      <c r="D2969" s="101" t="s">
        <v>2093</v>
      </c>
      <c r="E2969" s="25"/>
      <c r="F2969" s="99">
        <v>0.7</v>
      </c>
    </row>
    <row r="2970" spans="2:6" x14ac:dyDescent="0.2">
      <c r="B2970" s="101" t="s">
        <v>64</v>
      </c>
      <c r="C2970" s="30" t="s">
        <v>219</v>
      </c>
      <c r="D2970" s="101" t="s">
        <v>1809</v>
      </c>
      <c r="E2970" s="183"/>
      <c r="F2970" s="99">
        <f>8.24-0.5</f>
        <v>7.74</v>
      </c>
    </row>
    <row r="2971" spans="2:6" x14ac:dyDescent="0.2">
      <c r="B2971" s="101" t="s">
        <v>64</v>
      </c>
      <c r="C2971" s="30" t="s">
        <v>219</v>
      </c>
      <c r="D2971" s="101">
        <v>400</v>
      </c>
      <c r="E2971" s="183"/>
      <c r="F2971" s="99">
        <v>5.72</v>
      </c>
    </row>
    <row r="2972" spans="2:6" x14ac:dyDescent="0.2">
      <c r="B2972" s="101" t="s">
        <v>64</v>
      </c>
      <c r="C2972" s="30" t="s">
        <v>219</v>
      </c>
      <c r="D2972" s="101">
        <v>430</v>
      </c>
      <c r="E2972" s="183"/>
      <c r="F2972" s="99">
        <f>6.31+4.42</f>
        <v>10.73</v>
      </c>
    </row>
    <row r="2973" spans="2:6" x14ac:dyDescent="0.2">
      <c r="B2973" s="101" t="s">
        <v>64</v>
      </c>
      <c r="C2973" s="30" t="s">
        <v>219</v>
      </c>
      <c r="D2973" s="101">
        <v>430</v>
      </c>
      <c r="E2973" s="183"/>
      <c r="F2973" s="99">
        <v>1.26</v>
      </c>
    </row>
    <row r="2974" spans="2:6" x14ac:dyDescent="0.2">
      <c r="B2974" s="101" t="s">
        <v>64</v>
      </c>
      <c r="C2974" s="30" t="s">
        <v>219</v>
      </c>
      <c r="D2974" s="101">
        <v>460</v>
      </c>
      <c r="E2974" s="25"/>
      <c r="F2974" s="99">
        <v>5.94</v>
      </c>
    </row>
    <row r="2975" spans="2:6" x14ac:dyDescent="0.2">
      <c r="B2975" s="101" t="s">
        <v>64</v>
      </c>
      <c r="C2975" s="30" t="s">
        <v>219</v>
      </c>
      <c r="D2975" s="101" t="s">
        <v>2532</v>
      </c>
      <c r="E2975" s="25"/>
      <c r="F2975" s="99">
        <v>4.8099999999999996</v>
      </c>
    </row>
    <row r="2976" spans="2:6" x14ac:dyDescent="0.2">
      <c r="B2976" s="101" t="s">
        <v>64</v>
      </c>
      <c r="C2976" s="30" t="s">
        <v>219</v>
      </c>
      <c r="D2976" s="101" t="s">
        <v>2533</v>
      </c>
      <c r="E2976" s="25"/>
      <c r="F2976" s="99">
        <v>4.78</v>
      </c>
    </row>
    <row r="2977" spans="2:6" x14ac:dyDescent="0.2">
      <c r="B2977" s="101" t="s">
        <v>64</v>
      </c>
      <c r="C2977" s="30" t="s">
        <v>219</v>
      </c>
      <c r="D2977" s="101">
        <v>500</v>
      </c>
      <c r="E2977" s="183"/>
      <c r="F2977" s="99">
        <v>5</v>
      </c>
    </row>
    <row r="2978" spans="2:6" x14ac:dyDescent="0.2">
      <c r="B2978" s="101" t="s">
        <v>64</v>
      </c>
      <c r="C2978" s="30" t="s">
        <v>219</v>
      </c>
      <c r="D2978" s="101">
        <v>530</v>
      </c>
      <c r="E2978" s="183"/>
      <c r="F2978" s="99">
        <v>4.96</v>
      </c>
    </row>
    <row r="2979" spans="2:6" x14ac:dyDescent="0.2">
      <c r="B2979" s="101" t="s">
        <v>64</v>
      </c>
      <c r="C2979" s="30" t="s">
        <v>219</v>
      </c>
      <c r="D2979" s="101">
        <v>540</v>
      </c>
      <c r="E2979" s="183"/>
      <c r="F2979" s="99">
        <v>5.95</v>
      </c>
    </row>
    <row r="2980" spans="2:6" x14ac:dyDescent="0.2">
      <c r="B2980" s="101" t="s">
        <v>64</v>
      </c>
      <c r="C2980" s="30" t="s">
        <v>219</v>
      </c>
      <c r="D2980" s="101" t="s">
        <v>1958</v>
      </c>
      <c r="E2980" s="183"/>
      <c r="F2980" s="99">
        <f>0.68+1.59</f>
        <v>2.27</v>
      </c>
    </row>
    <row r="2981" spans="2:6" x14ac:dyDescent="0.2">
      <c r="B2981" s="101" t="s">
        <v>64</v>
      </c>
      <c r="C2981" s="30" t="s">
        <v>219</v>
      </c>
      <c r="D2981" s="101">
        <v>560</v>
      </c>
      <c r="E2981" s="183"/>
      <c r="F2981" s="99">
        <v>5.47</v>
      </c>
    </row>
    <row r="2982" spans="2:6" x14ac:dyDescent="0.2">
      <c r="B2982" s="101" t="s">
        <v>64</v>
      </c>
      <c r="C2982" s="30" t="s">
        <v>219</v>
      </c>
      <c r="D2982" s="101">
        <v>560</v>
      </c>
      <c r="E2982" s="183"/>
      <c r="F2982" s="99">
        <v>7.08</v>
      </c>
    </row>
    <row r="2983" spans="2:6" x14ac:dyDescent="0.2">
      <c r="B2983" s="101" t="s">
        <v>64</v>
      </c>
      <c r="C2983" s="30" t="s">
        <v>219</v>
      </c>
      <c r="D2983" s="101">
        <v>580</v>
      </c>
      <c r="E2983" s="183"/>
      <c r="F2983" s="99">
        <v>5.4</v>
      </c>
    </row>
    <row r="2984" spans="2:6" x14ac:dyDescent="0.2">
      <c r="B2984" s="101" t="s">
        <v>64</v>
      </c>
      <c r="C2984" s="30" t="s">
        <v>219</v>
      </c>
      <c r="D2984" s="101">
        <v>620</v>
      </c>
      <c r="E2984" s="183"/>
      <c r="F2984" s="99">
        <v>6.7</v>
      </c>
    </row>
    <row r="2985" spans="2:6" x14ac:dyDescent="0.2">
      <c r="B2985" s="101" t="s">
        <v>64</v>
      </c>
      <c r="C2985" s="30" t="s">
        <v>219</v>
      </c>
      <c r="D2985" s="101">
        <v>665</v>
      </c>
      <c r="E2985" s="183"/>
      <c r="F2985" s="99">
        <v>5.73</v>
      </c>
    </row>
    <row r="2986" spans="2:6" x14ac:dyDescent="0.2">
      <c r="B2986" s="101" t="s">
        <v>64</v>
      </c>
      <c r="C2986" s="30" t="s">
        <v>219</v>
      </c>
      <c r="D2986" s="101" t="s">
        <v>2582</v>
      </c>
      <c r="E2986" s="25"/>
      <c r="F2986" s="99">
        <v>2.16</v>
      </c>
    </row>
    <row r="2987" spans="2:6" x14ac:dyDescent="0.2">
      <c r="B2987" s="101" t="s">
        <v>64</v>
      </c>
      <c r="C2987" s="30" t="s">
        <v>219</v>
      </c>
      <c r="D2987" s="101">
        <v>760</v>
      </c>
      <c r="E2987" s="25"/>
      <c r="F2987" s="99">
        <v>8</v>
      </c>
    </row>
    <row r="2988" spans="2:6" x14ac:dyDescent="0.2">
      <c r="B2988" s="101" t="s">
        <v>64</v>
      </c>
      <c r="C2988" s="30" t="s">
        <v>219</v>
      </c>
      <c r="D2988" s="101" t="s">
        <v>2594</v>
      </c>
      <c r="E2988" s="183"/>
      <c r="F2988" s="99">
        <v>2.16</v>
      </c>
    </row>
    <row r="2989" spans="2:6" x14ac:dyDescent="0.2">
      <c r="B2989" s="101" t="s">
        <v>64</v>
      </c>
      <c r="C2989" s="30" t="s">
        <v>1555</v>
      </c>
      <c r="D2989" s="101" t="s">
        <v>1952</v>
      </c>
      <c r="E2989" s="183"/>
      <c r="F2989" s="99">
        <v>0.28000000000000003</v>
      </c>
    </row>
    <row r="2990" spans="2:6" x14ac:dyDescent="0.2">
      <c r="B2990" s="101" t="s">
        <v>64</v>
      </c>
      <c r="C2990" s="30" t="s">
        <v>1555</v>
      </c>
      <c r="D2990" s="101" t="s">
        <v>1981</v>
      </c>
      <c r="E2990" s="25"/>
      <c r="F2990" s="99">
        <v>7.4</v>
      </c>
    </row>
    <row r="2991" spans="2:6" x14ac:dyDescent="0.2">
      <c r="B2991" s="101" t="s">
        <v>64</v>
      </c>
      <c r="C2991" s="30" t="s">
        <v>2042</v>
      </c>
      <c r="D2991" s="101" t="s">
        <v>2043</v>
      </c>
      <c r="E2991" s="183"/>
      <c r="F2991" s="99">
        <v>2.9750000000000001</v>
      </c>
    </row>
    <row r="2992" spans="2:6" x14ac:dyDescent="0.2">
      <c r="B2992" s="30" t="s">
        <v>64</v>
      </c>
      <c r="C2992" s="30" t="s">
        <v>402</v>
      </c>
      <c r="D2992" s="30" t="s">
        <v>486</v>
      </c>
      <c r="E2992" s="101"/>
      <c r="F2992" s="34">
        <v>0.314</v>
      </c>
    </row>
    <row r="2993" spans="2:6" x14ac:dyDescent="0.2">
      <c r="B2993" s="30" t="s">
        <v>64</v>
      </c>
      <c r="C2993" s="30" t="s">
        <v>402</v>
      </c>
      <c r="D2993" s="30" t="s">
        <v>330</v>
      </c>
      <c r="E2993" s="101"/>
      <c r="F2993" s="34">
        <f>1.83-0.346</f>
        <v>1.484</v>
      </c>
    </row>
    <row r="2994" spans="2:6" x14ac:dyDescent="0.2">
      <c r="B2994" s="101" t="s">
        <v>64</v>
      </c>
      <c r="C2994" s="30" t="s">
        <v>402</v>
      </c>
      <c r="D2994" s="101">
        <v>360</v>
      </c>
      <c r="E2994" s="25"/>
      <c r="F2994" s="99">
        <f>5.4+5.3</f>
        <v>10.7</v>
      </c>
    </row>
    <row r="2995" spans="2:6" x14ac:dyDescent="0.2">
      <c r="B2995" s="101" t="s">
        <v>64</v>
      </c>
      <c r="C2995" s="30" t="s">
        <v>402</v>
      </c>
      <c r="D2995" s="101">
        <v>360</v>
      </c>
      <c r="E2995" s="25"/>
      <c r="F2995" s="99">
        <f>5.33+4.25</f>
        <v>9.58</v>
      </c>
    </row>
    <row r="2996" spans="2:6" x14ac:dyDescent="0.2">
      <c r="B2996" s="101" t="s">
        <v>64</v>
      </c>
      <c r="C2996" s="30" t="s">
        <v>402</v>
      </c>
      <c r="D2996" s="101">
        <v>360</v>
      </c>
      <c r="E2996" s="25"/>
      <c r="F2996" s="99">
        <v>0.63</v>
      </c>
    </row>
    <row r="2997" spans="2:6" x14ac:dyDescent="0.2">
      <c r="B2997" s="101" t="s">
        <v>64</v>
      </c>
      <c r="C2997" s="30" t="s">
        <v>402</v>
      </c>
      <c r="D2997" s="101">
        <v>360</v>
      </c>
      <c r="E2997" s="25"/>
      <c r="F2997" s="99">
        <v>0.2</v>
      </c>
    </row>
    <row r="2998" spans="2:6" x14ac:dyDescent="0.2">
      <c r="B2998" s="101" t="s">
        <v>64</v>
      </c>
      <c r="C2998" s="30" t="s">
        <v>402</v>
      </c>
      <c r="D2998" s="101" t="s">
        <v>1784</v>
      </c>
      <c r="E2998" s="25"/>
      <c r="F2998" s="99">
        <v>2.66</v>
      </c>
    </row>
    <row r="2999" spans="2:6" x14ac:dyDescent="0.2">
      <c r="B2999" s="101" t="s">
        <v>64</v>
      </c>
      <c r="C2999" s="30" t="s">
        <v>402</v>
      </c>
      <c r="D2999" s="101">
        <v>380</v>
      </c>
      <c r="E2999" s="183"/>
      <c r="F2999" s="99">
        <f>5.5+5.34</f>
        <v>10.84</v>
      </c>
    </row>
    <row r="3000" spans="2:6" x14ac:dyDescent="0.2">
      <c r="B3000" s="101" t="s">
        <v>64</v>
      </c>
      <c r="C3000" s="30" t="s">
        <v>402</v>
      </c>
      <c r="D3000" s="101">
        <v>380</v>
      </c>
      <c r="E3000" s="183"/>
      <c r="F3000" s="99">
        <f>2+4.6+0.42+4.52-0.42</f>
        <v>11.12</v>
      </c>
    </row>
    <row r="3001" spans="2:6" x14ac:dyDescent="0.2">
      <c r="B3001" s="101" t="s">
        <v>64</v>
      </c>
      <c r="C3001" s="30" t="s">
        <v>402</v>
      </c>
      <c r="D3001" s="101">
        <v>380</v>
      </c>
      <c r="E3001" s="183"/>
      <c r="F3001" s="99">
        <f>2.25+1.44</f>
        <v>3.69</v>
      </c>
    </row>
    <row r="3002" spans="2:6" x14ac:dyDescent="0.2">
      <c r="B3002" s="101" t="s">
        <v>64</v>
      </c>
      <c r="C3002" s="30" t="s">
        <v>402</v>
      </c>
      <c r="D3002" s="101">
        <v>390</v>
      </c>
      <c r="E3002" s="183"/>
      <c r="F3002" s="99">
        <f>0.14+0.08</f>
        <v>0.22000000000000003</v>
      </c>
    </row>
    <row r="3003" spans="2:6" x14ac:dyDescent="0.2">
      <c r="B3003" s="101" t="s">
        <v>64</v>
      </c>
      <c r="C3003" s="30" t="s">
        <v>402</v>
      </c>
      <c r="D3003" s="101">
        <v>390</v>
      </c>
      <c r="E3003" s="183"/>
      <c r="F3003" s="99">
        <f>0.14+0.16</f>
        <v>0.30000000000000004</v>
      </c>
    </row>
    <row r="3004" spans="2:6" x14ac:dyDescent="0.2">
      <c r="B3004" s="101" t="s">
        <v>64</v>
      </c>
      <c r="C3004" s="30" t="s">
        <v>402</v>
      </c>
      <c r="D3004" s="101" t="s">
        <v>2517</v>
      </c>
      <c r="E3004" s="183"/>
      <c r="F3004" s="99">
        <v>0.34</v>
      </c>
    </row>
    <row r="3005" spans="2:6" x14ac:dyDescent="0.2">
      <c r="B3005" s="101" t="s">
        <v>64</v>
      </c>
      <c r="C3005" s="30" t="s">
        <v>402</v>
      </c>
      <c r="D3005" s="101" t="s">
        <v>1812</v>
      </c>
      <c r="E3005" s="183"/>
      <c r="F3005" s="99"/>
    </row>
    <row r="3006" spans="2:6" x14ac:dyDescent="0.2">
      <c r="B3006" s="101" t="s">
        <v>64</v>
      </c>
      <c r="C3006" s="30" t="s">
        <v>402</v>
      </c>
      <c r="D3006" s="101" t="s">
        <v>1813</v>
      </c>
      <c r="E3006" s="183"/>
      <c r="F3006" s="99"/>
    </row>
    <row r="3007" spans="2:6" x14ac:dyDescent="0.2">
      <c r="B3007" s="101" t="s">
        <v>64</v>
      </c>
      <c r="C3007" s="30" t="s">
        <v>402</v>
      </c>
      <c r="D3007" s="101" t="s">
        <v>1814</v>
      </c>
      <c r="E3007" s="183"/>
      <c r="F3007" s="99"/>
    </row>
    <row r="3008" spans="2:6" x14ac:dyDescent="0.2">
      <c r="B3008" s="101" t="s">
        <v>64</v>
      </c>
      <c r="C3008" s="30" t="s">
        <v>402</v>
      </c>
      <c r="D3008" s="101">
        <v>400</v>
      </c>
      <c r="E3008" s="183"/>
      <c r="F3008" s="99">
        <v>6.49</v>
      </c>
    </row>
    <row r="3009" spans="2:6" x14ac:dyDescent="0.2">
      <c r="B3009" s="101" t="s">
        <v>64</v>
      </c>
      <c r="C3009" s="30" t="s">
        <v>402</v>
      </c>
      <c r="D3009" s="101">
        <v>400</v>
      </c>
      <c r="E3009" s="183"/>
      <c r="F3009" s="99">
        <f>5.96+0.43</f>
        <v>6.39</v>
      </c>
    </row>
    <row r="3010" spans="2:6" x14ac:dyDescent="0.2">
      <c r="B3010" s="101" t="s">
        <v>64</v>
      </c>
      <c r="C3010" s="30" t="s">
        <v>402</v>
      </c>
      <c r="D3010" s="101" t="s">
        <v>1818</v>
      </c>
      <c r="E3010" s="183"/>
      <c r="F3010" s="99">
        <v>0.09</v>
      </c>
    </row>
    <row r="3011" spans="2:6" x14ac:dyDescent="0.2">
      <c r="B3011" s="101" t="s">
        <v>64</v>
      </c>
      <c r="C3011" s="30" t="s">
        <v>402</v>
      </c>
      <c r="D3011" s="101" t="s">
        <v>1822</v>
      </c>
      <c r="E3011" s="183"/>
      <c r="F3011" s="99"/>
    </row>
    <row r="3012" spans="2:6" x14ac:dyDescent="0.2">
      <c r="B3012" s="101" t="s">
        <v>64</v>
      </c>
      <c r="C3012" s="30" t="s">
        <v>402</v>
      </c>
      <c r="D3012" s="101">
        <v>410</v>
      </c>
      <c r="E3012" s="183"/>
      <c r="F3012" s="99">
        <v>6.61</v>
      </c>
    </row>
    <row r="3013" spans="2:6" x14ac:dyDescent="0.2">
      <c r="B3013" s="101" t="s">
        <v>64</v>
      </c>
      <c r="C3013" s="30" t="s">
        <v>402</v>
      </c>
      <c r="D3013" s="101">
        <v>410</v>
      </c>
      <c r="E3013" s="183"/>
      <c r="F3013" s="99">
        <f>6.62+4.9+3.9</f>
        <v>15.42</v>
      </c>
    </row>
    <row r="3014" spans="2:6" x14ac:dyDescent="0.2">
      <c r="B3014" s="101" t="s">
        <v>64</v>
      </c>
      <c r="C3014" s="30" t="s">
        <v>402</v>
      </c>
      <c r="D3014" s="101">
        <v>410</v>
      </c>
      <c r="E3014" s="183"/>
      <c r="F3014" s="99">
        <v>0.1</v>
      </c>
    </row>
    <row r="3015" spans="2:6" x14ac:dyDescent="0.2">
      <c r="B3015" s="101" t="s">
        <v>64</v>
      </c>
      <c r="C3015" s="30" t="s">
        <v>402</v>
      </c>
      <c r="D3015" s="101">
        <v>420</v>
      </c>
      <c r="E3015" s="183"/>
      <c r="F3015" s="99">
        <v>6.97</v>
      </c>
    </row>
    <row r="3016" spans="2:6" x14ac:dyDescent="0.2">
      <c r="B3016" s="101" t="s">
        <v>64</v>
      </c>
      <c r="C3016" s="30" t="s">
        <v>402</v>
      </c>
      <c r="D3016" s="101">
        <v>420</v>
      </c>
      <c r="E3016" s="183"/>
      <c r="F3016" s="99">
        <f>6.4+0.13+6.88</f>
        <v>13.41</v>
      </c>
    </row>
    <row r="3017" spans="2:6" x14ac:dyDescent="0.2">
      <c r="B3017" s="101" t="s">
        <v>64</v>
      </c>
      <c r="C3017" s="30" t="s">
        <v>402</v>
      </c>
      <c r="D3017" s="101">
        <v>420</v>
      </c>
      <c r="E3017" s="25"/>
      <c r="F3017" s="99">
        <v>1.82</v>
      </c>
    </row>
    <row r="3018" spans="2:6" x14ac:dyDescent="0.2">
      <c r="B3018" s="101" t="s">
        <v>64</v>
      </c>
      <c r="C3018" s="30" t="s">
        <v>402</v>
      </c>
      <c r="D3018" s="101">
        <v>430</v>
      </c>
      <c r="E3018" s="183"/>
      <c r="F3018" s="99">
        <f>7+4.08+6.73</f>
        <v>17.810000000000002</v>
      </c>
    </row>
    <row r="3019" spans="2:6" x14ac:dyDescent="0.2">
      <c r="B3019" s="101" t="s">
        <v>64</v>
      </c>
      <c r="C3019" s="30" t="s">
        <v>402</v>
      </c>
      <c r="D3019" s="101">
        <v>430</v>
      </c>
      <c r="E3019" s="183"/>
      <c r="F3019" s="99">
        <v>7</v>
      </c>
    </row>
    <row r="3020" spans="2:6" x14ac:dyDescent="0.2">
      <c r="B3020" s="101" t="s">
        <v>64</v>
      </c>
      <c r="C3020" s="30" t="s">
        <v>402</v>
      </c>
      <c r="D3020" s="101">
        <v>430</v>
      </c>
      <c r="E3020" s="183"/>
      <c r="F3020" s="99">
        <f>0.33+0.1</f>
        <v>0.43000000000000005</v>
      </c>
    </row>
    <row r="3021" spans="2:6" x14ac:dyDescent="0.2">
      <c r="B3021" s="101" t="s">
        <v>64</v>
      </c>
      <c r="C3021" s="30" t="s">
        <v>402</v>
      </c>
      <c r="D3021" s="101">
        <v>440</v>
      </c>
      <c r="E3021" s="183"/>
      <c r="F3021" s="99">
        <v>3.34</v>
      </c>
    </row>
    <row r="3022" spans="2:6" x14ac:dyDescent="0.2">
      <c r="B3022" s="101" t="s">
        <v>64</v>
      </c>
      <c r="C3022" s="30" t="s">
        <v>402</v>
      </c>
      <c r="D3022" s="101">
        <v>445</v>
      </c>
      <c r="E3022" s="183"/>
      <c r="F3022" s="99">
        <v>3.14</v>
      </c>
    </row>
    <row r="3023" spans="2:6" x14ac:dyDescent="0.2">
      <c r="B3023" s="101" t="s">
        <v>64</v>
      </c>
      <c r="C3023" s="30" t="s">
        <v>402</v>
      </c>
      <c r="D3023" s="101">
        <v>450</v>
      </c>
      <c r="E3023" s="183"/>
      <c r="F3023" s="99">
        <f>6.74</f>
        <v>6.74</v>
      </c>
    </row>
    <row r="3024" spans="2:6" x14ac:dyDescent="0.2">
      <c r="B3024" s="101" t="s">
        <v>64</v>
      </c>
      <c r="C3024" s="30" t="s">
        <v>402</v>
      </c>
      <c r="D3024" s="101" t="s">
        <v>1867</v>
      </c>
      <c r="E3024" s="183"/>
      <c r="F3024" s="99">
        <v>0.31</v>
      </c>
    </row>
    <row r="3025" spans="2:6" x14ac:dyDescent="0.2">
      <c r="B3025" s="101" t="s">
        <v>64</v>
      </c>
      <c r="C3025" s="30" t="s">
        <v>402</v>
      </c>
      <c r="D3025" s="101">
        <v>460</v>
      </c>
      <c r="E3025" s="25"/>
      <c r="F3025" s="99">
        <f>6.89+6.82</f>
        <v>13.71</v>
      </c>
    </row>
    <row r="3026" spans="2:6" x14ac:dyDescent="0.2">
      <c r="B3026" s="101" t="s">
        <v>64</v>
      </c>
      <c r="C3026" s="30" t="s">
        <v>402</v>
      </c>
      <c r="D3026" s="101">
        <v>460</v>
      </c>
      <c r="E3026" s="183"/>
      <c r="F3026" s="99">
        <f>5.52+4.75</f>
        <v>10.27</v>
      </c>
    </row>
    <row r="3027" spans="2:6" x14ac:dyDescent="0.2">
      <c r="B3027" s="101" t="s">
        <v>64</v>
      </c>
      <c r="C3027" s="30" t="s">
        <v>402</v>
      </c>
      <c r="D3027" s="101">
        <v>460</v>
      </c>
      <c r="E3027" s="183"/>
      <c r="F3027" s="99">
        <v>3</v>
      </c>
    </row>
    <row r="3028" spans="2:6" x14ac:dyDescent="0.2">
      <c r="B3028" s="101" t="s">
        <v>64</v>
      </c>
      <c r="C3028" s="30" t="s">
        <v>402</v>
      </c>
      <c r="D3028" s="101" t="s">
        <v>1881</v>
      </c>
      <c r="E3028" s="25"/>
      <c r="F3028" s="99">
        <v>0.18</v>
      </c>
    </row>
    <row r="3029" spans="2:6" x14ac:dyDescent="0.2">
      <c r="B3029" s="101" t="s">
        <v>64</v>
      </c>
      <c r="C3029" s="30" t="s">
        <v>402</v>
      </c>
      <c r="D3029" s="101">
        <v>470</v>
      </c>
      <c r="E3029" s="183"/>
      <c r="F3029" s="99">
        <v>0.12</v>
      </c>
    </row>
    <row r="3030" spans="2:6" x14ac:dyDescent="0.2">
      <c r="B3030" s="101" t="s">
        <v>64</v>
      </c>
      <c r="C3030" s="30" t="s">
        <v>402</v>
      </c>
      <c r="D3030" s="101">
        <v>480</v>
      </c>
      <c r="E3030" s="183"/>
      <c r="F3030" s="99">
        <v>7.59</v>
      </c>
    </row>
    <row r="3031" spans="2:6" x14ac:dyDescent="0.2">
      <c r="B3031" s="101" t="s">
        <v>64</v>
      </c>
      <c r="C3031" s="30" t="s">
        <v>402</v>
      </c>
      <c r="D3031" s="101">
        <v>480</v>
      </c>
      <c r="E3031" s="183"/>
      <c r="F3031" s="99">
        <v>2.84</v>
      </c>
    </row>
    <row r="3032" spans="2:6" x14ac:dyDescent="0.2">
      <c r="B3032" s="101" t="s">
        <v>64</v>
      </c>
      <c r="C3032" s="30" t="s">
        <v>402</v>
      </c>
      <c r="D3032" s="101">
        <v>480</v>
      </c>
      <c r="E3032" s="183"/>
      <c r="F3032" s="99">
        <v>2.4500000000000002</v>
      </c>
    </row>
    <row r="3033" spans="2:6" x14ac:dyDescent="0.2">
      <c r="B3033" s="101" t="s">
        <v>64</v>
      </c>
      <c r="C3033" s="30" t="s">
        <v>402</v>
      </c>
      <c r="D3033" s="101">
        <v>480</v>
      </c>
      <c r="E3033" s="183"/>
      <c r="F3033" s="99"/>
    </row>
    <row r="3034" spans="2:6" x14ac:dyDescent="0.2">
      <c r="B3034" s="101" t="s">
        <v>64</v>
      </c>
      <c r="C3034" s="30" t="s">
        <v>402</v>
      </c>
      <c r="D3034" s="101" t="s">
        <v>1902</v>
      </c>
      <c r="E3034" s="183"/>
      <c r="F3034" s="99"/>
    </row>
    <row r="3035" spans="2:6" x14ac:dyDescent="0.2">
      <c r="B3035" s="101" t="s">
        <v>64</v>
      </c>
      <c r="C3035" s="30" t="s">
        <v>402</v>
      </c>
      <c r="D3035" s="101">
        <v>490</v>
      </c>
      <c r="E3035" s="183"/>
      <c r="F3035" s="99">
        <f>6.74+6.77</f>
        <v>13.51</v>
      </c>
    </row>
    <row r="3036" spans="2:6" x14ac:dyDescent="0.2">
      <c r="B3036" s="101" t="s">
        <v>64</v>
      </c>
      <c r="C3036" s="30" t="s">
        <v>402</v>
      </c>
      <c r="D3036" s="101">
        <v>490</v>
      </c>
      <c r="E3036" s="183"/>
      <c r="F3036" s="99">
        <v>6.9</v>
      </c>
    </row>
    <row r="3037" spans="2:6" x14ac:dyDescent="0.2">
      <c r="B3037" s="101" t="s">
        <v>64</v>
      </c>
      <c r="C3037" s="30" t="s">
        <v>402</v>
      </c>
      <c r="D3037" s="101">
        <v>490</v>
      </c>
      <c r="E3037" s="183"/>
      <c r="F3037" s="99">
        <v>0.38</v>
      </c>
    </row>
    <row r="3038" spans="2:6" x14ac:dyDescent="0.2">
      <c r="B3038" s="101" t="s">
        <v>64</v>
      </c>
      <c r="C3038" s="30" t="s">
        <v>402</v>
      </c>
      <c r="D3038" s="101">
        <v>500</v>
      </c>
      <c r="E3038" s="183"/>
      <c r="F3038" s="99">
        <v>6.71</v>
      </c>
    </row>
    <row r="3039" spans="2:6" x14ac:dyDescent="0.2">
      <c r="B3039" s="101" t="s">
        <v>64</v>
      </c>
      <c r="C3039" s="30" t="s">
        <v>402</v>
      </c>
      <c r="D3039" s="101">
        <v>500</v>
      </c>
      <c r="E3039" s="183"/>
      <c r="F3039" s="99">
        <v>5.72</v>
      </c>
    </row>
    <row r="3040" spans="2:6" x14ac:dyDescent="0.2">
      <c r="B3040" s="101" t="s">
        <v>64</v>
      </c>
      <c r="C3040" s="30" t="s">
        <v>402</v>
      </c>
      <c r="D3040" s="101">
        <v>500</v>
      </c>
      <c r="E3040" s="183"/>
      <c r="F3040" s="99"/>
    </row>
    <row r="3041" spans="2:6" x14ac:dyDescent="0.2">
      <c r="B3041" s="101" t="s">
        <v>64</v>
      </c>
      <c r="C3041" s="30" t="s">
        <v>402</v>
      </c>
      <c r="D3041" s="101">
        <v>500</v>
      </c>
      <c r="E3041" s="183"/>
      <c r="F3041" s="99">
        <v>0.17</v>
      </c>
    </row>
    <row r="3042" spans="2:6" x14ac:dyDescent="0.2">
      <c r="B3042" s="101" t="s">
        <v>64</v>
      </c>
      <c r="C3042" s="30" t="s">
        <v>402</v>
      </c>
      <c r="D3042" s="101">
        <v>500</v>
      </c>
      <c r="E3042" s="183"/>
      <c r="F3042" s="99">
        <v>0.14000000000000001</v>
      </c>
    </row>
    <row r="3043" spans="2:6" x14ac:dyDescent="0.2">
      <c r="B3043" s="101" t="s">
        <v>64</v>
      </c>
      <c r="C3043" s="30" t="s">
        <v>402</v>
      </c>
      <c r="D3043" s="101" t="s">
        <v>1918</v>
      </c>
      <c r="E3043" s="183"/>
      <c r="F3043" s="99">
        <v>0.12</v>
      </c>
    </row>
    <row r="3044" spans="2:6" x14ac:dyDescent="0.2">
      <c r="B3044" s="101" t="s">
        <v>64</v>
      </c>
      <c r="C3044" s="30" t="s">
        <v>402</v>
      </c>
      <c r="D3044" s="101" t="s">
        <v>1919</v>
      </c>
      <c r="E3044" s="183"/>
      <c r="F3044" s="99">
        <v>0.91</v>
      </c>
    </row>
    <row r="3045" spans="2:6" x14ac:dyDescent="0.2">
      <c r="B3045" s="101" t="s">
        <v>64</v>
      </c>
      <c r="C3045" s="30" t="s">
        <v>402</v>
      </c>
      <c r="D3045" s="101" t="s">
        <v>1920</v>
      </c>
      <c r="E3045" s="183"/>
      <c r="F3045" s="99"/>
    </row>
    <row r="3046" spans="2:6" x14ac:dyDescent="0.2">
      <c r="B3046" s="101" t="s">
        <v>64</v>
      </c>
      <c r="C3046" s="30" t="s">
        <v>402</v>
      </c>
      <c r="D3046" s="101" t="s">
        <v>2544</v>
      </c>
      <c r="E3046" s="183"/>
      <c r="F3046" s="99"/>
    </row>
    <row r="3047" spans="2:6" x14ac:dyDescent="0.2">
      <c r="B3047" s="101" t="s">
        <v>64</v>
      </c>
      <c r="C3047" s="30" t="s">
        <v>1924</v>
      </c>
      <c r="D3047" s="101" t="s">
        <v>1925</v>
      </c>
      <c r="E3047" s="183"/>
      <c r="F3047" s="99"/>
    </row>
    <row r="3048" spans="2:6" x14ac:dyDescent="0.2">
      <c r="B3048" s="101" t="s">
        <v>64</v>
      </c>
      <c r="C3048" s="30" t="s">
        <v>1924</v>
      </c>
      <c r="D3048" s="101">
        <v>505</v>
      </c>
      <c r="E3048" s="183"/>
      <c r="F3048" s="99">
        <v>0.19</v>
      </c>
    </row>
    <row r="3049" spans="2:6" x14ac:dyDescent="0.2">
      <c r="B3049" s="101" t="s">
        <v>64</v>
      </c>
      <c r="C3049" s="30" t="s">
        <v>402</v>
      </c>
      <c r="D3049" s="101">
        <v>510</v>
      </c>
      <c r="E3049" s="183"/>
      <c r="F3049" s="99">
        <v>8.66</v>
      </c>
    </row>
    <row r="3050" spans="2:6" x14ac:dyDescent="0.2">
      <c r="B3050" s="101" t="s">
        <v>64</v>
      </c>
      <c r="C3050" s="30" t="s">
        <v>402</v>
      </c>
      <c r="D3050" s="101">
        <v>510</v>
      </c>
      <c r="E3050" s="183"/>
      <c r="F3050" s="99">
        <f>0.33+0.19+0.19</f>
        <v>0.71</v>
      </c>
    </row>
    <row r="3051" spans="2:6" x14ac:dyDescent="0.2">
      <c r="B3051" s="101" t="s">
        <v>64</v>
      </c>
      <c r="C3051" s="30" t="s">
        <v>402</v>
      </c>
      <c r="D3051" s="101">
        <v>520</v>
      </c>
      <c r="E3051" s="183"/>
      <c r="F3051" s="99">
        <v>1.97</v>
      </c>
    </row>
    <row r="3052" spans="2:6" x14ac:dyDescent="0.2">
      <c r="B3052" s="101" t="s">
        <v>64</v>
      </c>
      <c r="C3052" s="30" t="s">
        <v>402</v>
      </c>
      <c r="D3052" s="101">
        <v>530</v>
      </c>
      <c r="E3052" s="183"/>
      <c r="F3052" s="99">
        <v>4.38</v>
      </c>
    </row>
    <row r="3053" spans="2:6" x14ac:dyDescent="0.2">
      <c r="B3053" s="101" t="s">
        <v>64</v>
      </c>
      <c r="C3053" s="30" t="s">
        <v>402</v>
      </c>
      <c r="D3053" s="101" t="s">
        <v>1938</v>
      </c>
      <c r="E3053" s="183"/>
      <c r="F3053" s="99">
        <v>0.16500000000000001</v>
      </c>
    </row>
    <row r="3054" spans="2:6" x14ac:dyDescent="0.2">
      <c r="B3054" s="101" t="s">
        <v>64</v>
      </c>
      <c r="C3054" s="30" t="s">
        <v>402</v>
      </c>
      <c r="D3054" s="101" t="s">
        <v>2556</v>
      </c>
      <c r="E3054" s="183"/>
      <c r="F3054" s="99">
        <v>0.34</v>
      </c>
    </row>
    <row r="3055" spans="2:6" x14ac:dyDescent="0.2">
      <c r="B3055" s="101" t="s">
        <v>64</v>
      </c>
      <c r="C3055" s="30" t="s">
        <v>402</v>
      </c>
      <c r="D3055" s="101">
        <v>550</v>
      </c>
      <c r="E3055" s="183"/>
      <c r="F3055" s="99">
        <v>6.28</v>
      </c>
    </row>
    <row r="3056" spans="2:6" x14ac:dyDescent="0.2">
      <c r="B3056" s="101" t="s">
        <v>64</v>
      </c>
      <c r="C3056" s="30" t="s">
        <v>402</v>
      </c>
      <c r="D3056" s="101">
        <v>550</v>
      </c>
      <c r="E3056" s="183"/>
      <c r="F3056" s="99">
        <v>4.0999999999999996</v>
      </c>
    </row>
    <row r="3057" spans="2:6" x14ac:dyDescent="0.2">
      <c r="B3057" s="101" t="s">
        <v>64</v>
      </c>
      <c r="C3057" s="30" t="s">
        <v>402</v>
      </c>
      <c r="D3057" s="101" t="s">
        <v>1956</v>
      </c>
      <c r="E3057" s="183"/>
      <c r="F3057" s="99">
        <v>0.28999999999999998</v>
      </c>
    </row>
    <row r="3058" spans="2:6" x14ac:dyDescent="0.2">
      <c r="B3058" s="101" t="s">
        <v>64</v>
      </c>
      <c r="C3058" s="30" t="s">
        <v>402</v>
      </c>
      <c r="D3058" s="101">
        <v>560</v>
      </c>
      <c r="E3058" s="183"/>
      <c r="F3058" s="99">
        <v>8.75</v>
      </c>
    </row>
    <row r="3059" spans="2:6" x14ac:dyDescent="0.2">
      <c r="B3059" s="101" t="s">
        <v>64</v>
      </c>
      <c r="C3059" s="30" t="s">
        <v>402</v>
      </c>
      <c r="D3059" s="101" t="s">
        <v>1967</v>
      </c>
      <c r="E3059" s="25"/>
      <c r="F3059" s="99">
        <v>0.26</v>
      </c>
    </row>
    <row r="3060" spans="2:6" x14ac:dyDescent="0.2">
      <c r="B3060" s="101" t="s">
        <v>64</v>
      </c>
      <c r="C3060" s="30" t="s">
        <v>402</v>
      </c>
      <c r="D3060" s="101">
        <v>580</v>
      </c>
      <c r="E3060" s="25"/>
      <c r="F3060" s="99">
        <f>5.65+1.63+1.61-1.61</f>
        <v>7.28</v>
      </c>
    </row>
    <row r="3061" spans="2:6" x14ac:dyDescent="0.2">
      <c r="B3061" s="101" t="s">
        <v>64</v>
      </c>
      <c r="C3061" s="30" t="s">
        <v>402</v>
      </c>
      <c r="D3061" s="101">
        <v>580</v>
      </c>
      <c r="E3061" s="183"/>
      <c r="F3061" s="99">
        <v>0.43</v>
      </c>
    </row>
    <row r="3062" spans="2:6" x14ac:dyDescent="0.2">
      <c r="B3062" s="101" t="s">
        <v>64</v>
      </c>
      <c r="C3062" s="30" t="s">
        <v>402</v>
      </c>
      <c r="D3062" s="101">
        <v>580</v>
      </c>
      <c r="E3062" s="25"/>
      <c r="F3062" s="99">
        <v>0.35</v>
      </c>
    </row>
    <row r="3063" spans="2:6" x14ac:dyDescent="0.2">
      <c r="B3063" s="101" t="s">
        <v>64</v>
      </c>
      <c r="C3063" s="30" t="s">
        <v>402</v>
      </c>
      <c r="D3063" s="101">
        <v>580</v>
      </c>
      <c r="E3063" s="183"/>
      <c r="F3063" s="99">
        <v>0.25</v>
      </c>
    </row>
    <row r="3064" spans="2:6" x14ac:dyDescent="0.2">
      <c r="B3064" s="101" t="s">
        <v>64</v>
      </c>
      <c r="C3064" s="30" t="s">
        <v>402</v>
      </c>
      <c r="D3064" s="101" t="s">
        <v>2565</v>
      </c>
      <c r="E3064" s="183"/>
      <c r="F3064" s="99"/>
    </row>
    <row r="3065" spans="2:6" x14ac:dyDescent="0.2">
      <c r="B3065" s="101" t="s">
        <v>64</v>
      </c>
      <c r="C3065" s="30" t="s">
        <v>402</v>
      </c>
      <c r="D3065" s="101" t="s">
        <v>1973</v>
      </c>
      <c r="E3065" s="183"/>
      <c r="F3065" s="99">
        <v>1.4</v>
      </c>
    </row>
    <row r="3066" spans="2:6" x14ac:dyDescent="0.2">
      <c r="B3066" s="101" t="s">
        <v>64</v>
      </c>
      <c r="C3066" s="30" t="s">
        <v>402</v>
      </c>
      <c r="D3066" s="101">
        <v>590</v>
      </c>
      <c r="E3066" s="183"/>
      <c r="F3066" s="99">
        <v>7.91</v>
      </c>
    </row>
    <row r="3067" spans="2:6" x14ac:dyDescent="0.2">
      <c r="B3067" s="101" t="s">
        <v>64</v>
      </c>
      <c r="C3067" s="30" t="s">
        <v>402</v>
      </c>
      <c r="D3067" s="101">
        <v>600</v>
      </c>
      <c r="E3067" s="183"/>
      <c r="F3067" s="99">
        <f>3.9+6.57</f>
        <v>10.47</v>
      </c>
    </row>
    <row r="3068" spans="2:6" x14ac:dyDescent="0.2">
      <c r="B3068" s="101" t="s">
        <v>64</v>
      </c>
      <c r="C3068" s="30" t="s">
        <v>402</v>
      </c>
      <c r="D3068" s="101">
        <v>600</v>
      </c>
      <c r="E3068" s="183"/>
      <c r="F3068" s="99">
        <f>6.44</f>
        <v>6.44</v>
      </c>
    </row>
    <row r="3069" spans="2:6" x14ac:dyDescent="0.2">
      <c r="B3069" s="101" t="s">
        <v>64</v>
      </c>
      <c r="C3069" s="30" t="s">
        <v>402</v>
      </c>
      <c r="D3069" s="101">
        <v>620</v>
      </c>
      <c r="E3069" s="183"/>
      <c r="F3069" s="99">
        <v>0.74</v>
      </c>
    </row>
    <row r="3070" spans="2:6" x14ac:dyDescent="0.2">
      <c r="B3070" s="101" t="s">
        <v>64</v>
      </c>
      <c r="C3070" s="30" t="s">
        <v>402</v>
      </c>
      <c r="D3070" s="101">
        <v>625</v>
      </c>
      <c r="E3070" s="183"/>
      <c r="F3070" s="99">
        <v>0.61</v>
      </c>
    </row>
    <row r="3071" spans="2:6" x14ac:dyDescent="0.2">
      <c r="B3071" s="101" t="s">
        <v>64</v>
      </c>
      <c r="C3071" s="30" t="s">
        <v>402</v>
      </c>
      <c r="D3071" s="101">
        <v>630</v>
      </c>
      <c r="E3071" s="183"/>
      <c r="F3071" s="99">
        <v>0.3</v>
      </c>
    </row>
    <row r="3072" spans="2:6" x14ac:dyDescent="0.2">
      <c r="B3072" s="101" t="s">
        <v>64</v>
      </c>
      <c r="C3072" s="30" t="s">
        <v>402</v>
      </c>
      <c r="D3072" s="101" t="s">
        <v>2016</v>
      </c>
      <c r="E3072" s="183"/>
      <c r="F3072" s="99">
        <v>0.67</v>
      </c>
    </row>
    <row r="3073" spans="2:6" x14ac:dyDescent="0.2">
      <c r="B3073" s="101" t="s">
        <v>64</v>
      </c>
      <c r="C3073" s="30" t="s">
        <v>402</v>
      </c>
      <c r="D3073" s="101">
        <v>640</v>
      </c>
      <c r="E3073" s="183"/>
      <c r="F3073" s="99">
        <f>4.59+5.82</f>
        <v>10.41</v>
      </c>
    </row>
    <row r="3074" spans="2:6" x14ac:dyDescent="0.2">
      <c r="B3074" s="101" t="s">
        <v>64</v>
      </c>
      <c r="C3074" s="30" t="s">
        <v>402</v>
      </c>
      <c r="D3074" s="101">
        <v>650</v>
      </c>
      <c r="E3074" s="183"/>
      <c r="F3074" s="99">
        <v>1.6</v>
      </c>
    </row>
    <row r="3075" spans="2:6" x14ac:dyDescent="0.2">
      <c r="B3075" s="101" t="s">
        <v>64</v>
      </c>
      <c r="C3075" s="30" t="s">
        <v>402</v>
      </c>
      <c r="D3075" s="101">
        <v>650</v>
      </c>
      <c r="E3075" s="183"/>
      <c r="F3075" s="99">
        <v>6.02</v>
      </c>
    </row>
    <row r="3076" spans="2:6" x14ac:dyDescent="0.2">
      <c r="B3076" s="101" t="s">
        <v>64</v>
      </c>
      <c r="C3076" s="30" t="s">
        <v>402</v>
      </c>
      <c r="D3076" s="101">
        <v>650</v>
      </c>
      <c r="E3076" s="183"/>
      <c r="F3076" s="99">
        <v>1.33</v>
      </c>
    </row>
    <row r="3077" spans="2:6" x14ac:dyDescent="0.2">
      <c r="B3077" s="101" t="s">
        <v>64</v>
      </c>
      <c r="C3077" s="30" t="s">
        <v>402</v>
      </c>
      <c r="D3077" s="101" t="s">
        <v>2035</v>
      </c>
      <c r="E3077" s="183"/>
      <c r="F3077" s="99">
        <v>8.25</v>
      </c>
    </row>
    <row r="3078" spans="2:6" x14ac:dyDescent="0.2">
      <c r="B3078" s="101" t="s">
        <v>64</v>
      </c>
      <c r="C3078" s="30" t="s">
        <v>402</v>
      </c>
      <c r="D3078" s="101">
        <v>680</v>
      </c>
      <c r="E3078" s="25"/>
      <c r="F3078" s="99">
        <v>12.37</v>
      </c>
    </row>
    <row r="3079" spans="2:6" x14ac:dyDescent="0.2">
      <c r="B3079" s="101" t="s">
        <v>64</v>
      </c>
      <c r="C3079" s="30" t="s">
        <v>402</v>
      </c>
      <c r="D3079" s="101">
        <v>690</v>
      </c>
      <c r="E3079" s="25"/>
      <c r="F3079" s="99">
        <v>0.13</v>
      </c>
    </row>
    <row r="3080" spans="2:6" x14ac:dyDescent="0.2">
      <c r="B3080" s="101" t="s">
        <v>64</v>
      </c>
      <c r="C3080" s="30" t="s">
        <v>402</v>
      </c>
      <c r="D3080" s="101" t="s">
        <v>2061</v>
      </c>
      <c r="E3080" s="183"/>
      <c r="F3080" s="99">
        <v>0.97</v>
      </c>
    </row>
    <row r="3081" spans="2:6" x14ac:dyDescent="0.2">
      <c r="B3081" s="101" t="s">
        <v>64</v>
      </c>
      <c r="C3081" s="30" t="s">
        <v>402</v>
      </c>
      <c r="D3081" s="101">
        <v>700</v>
      </c>
      <c r="E3081" s="183"/>
      <c r="F3081" s="99">
        <v>7.4</v>
      </c>
    </row>
    <row r="3082" spans="2:6" x14ac:dyDescent="0.2">
      <c r="B3082" s="101" t="s">
        <v>64</v>
      </c>
      <c r="C3082" s="30" t="s">
        <v>402</v>
      </c>
      <c r="D3082" s="101">
        <v>700</v>
      </c>
      <c r="E3082" s="183"/>
      <c r="F3082" s="99">
        <f>7.39+2.2</f>
        <v>9.59</v>
      </c>
    </row>
    <row r="3083" spans="2:6" x14ac:dyDescent="0.2">
      <c r="B3083" s="101" t="s">
        <v>64</v>
      </c>
      <c r="C3083" s="30" t="s">
        <v>402</v>
      </c>
      <c r="D3083" s="101">
        <v>710</v>
      </c>
      <c r="E3083" s="183"/>
      <c r="F3083" s="99">
        <f>7.44+5.96</f>
        <v>13.4</v>
      </c>
    </row>
    <row r="3084" spans="2:6" x14ac:dyDescent="0.2">
      <c r="B3084" s="101" t="s">
        <v>64</v>
      </c>
      <c r="C3084" s="30" t="s">
        <v>402</v>
      </c>
      <c r="D3084" s="101">
        <v>720</v>
      </c>
      <c r="E3084" s="183"/>
      <c r="F3084" s="99">
        <v>7.02</v>
      </c>
    </row>
    <row r="3085" spans="2:6" x14ac:dyDescent="0.2">
      <c r="B3085" s="101" t="s">
        <v>64</v>
      </c>
      <c r="C3085" s="30" t="s">
        <v>402</v>
      </c>
      <c r="D3085" s="101">
        <v>720</v>
      </c>
      <c r="E3085" s="183"/>
      <c r="F3085" s="99">
        <v>5.13</v>
      </c>
    </row>
    <row r="3086" spans="2:6" x14ac:dyDescent="0.2">
      <c r="B3086" s="101" t="s">
        <v>64</v>
      </c>
      <c r="C3086" s="30" t="s">
        <v>402</v>
      </c>
      <c r="D3086" s="101" t="s">
        <v>2083</v>
      </c>
      <c r="E3086" s="183"/>
      <c r="F3086" s="99">
        <v>0.24</v>
      </c>
    </row>
    <row r="3087" spans="2:6" x14ac:dyDescent="0.2">
      <c r="B3087" s="101" t="s">
        <v>64</v>
      </c>
      <c r="C3087" s="30" t="s">
        <v>402</v>
      </c>
      <c r="D3087" s="101" t="s">
        <v>2084</v>
      </c>
      <c r="E3087" s="183"/>
      <c r="F3087" s="99">
        <v>0.88500000000000001</v>
      </c>
    </row>
    <row r="3088" spans="2:6" x14ac:dyDescent="0.2">
      <c r="B3088" s="101" t="s">
        <v>64</v>
      </c>
      <c r="C3088" s="30" t="s">
        <v>402</v>
      </c>
      <c r="D3088" s="101">
        <v>750</v>
      </c>
      <c r="E3088" s="25"/>
      <c r="F3088" s="99">
        <v>6.68</v>
      </c>
    </row>
    <row r="3089" spans="2:6" x14ac:dyDescent="0.2">
      <c r="B3089" s="101" t="s">
        <v>64</v>
      </c>
      <c r="C3089" s="30" t="s">
        <v>402</v>
      </c>
      <c r="D3089" s="101">
        <v>770</v>
      </c>
      <c r="E3089" s="25"/>
      <c r="F3089" s="99">
        <v>1.77</v>
      </c>
    </row>
    <row r="3090" spans="2:6" x14ac:dyDescent="0.2">
      <c r="B3090" s="101" t="s">
        <v>64</v>
      </c>
      <c r="C3090" s="30" t="s">
        <v>402</v>
      </c>
      <c r="D3090" s="101">
        <v>780</v>
      </c>
      <c r="E3090" s="183"/>
      <c r="F3090" s="99">
        <v>1.45</v>
      </c>
    </row>
    <row r="3091" spans="2:6" x14ac:dyDescent="0.2">
      <c r="B3091" s="101" t="s">
        <v>64</v>
      </c>
      <c r="C3091" s="30" t="s">
        <v>402</v>
      </c>
      <c r="D3091" s="101">
        <v>790</v>
      </c>
      <c r="E3091" s="25"/>
      <c r="F3091" s="99">
        <v>4.7699999999999996</v>
      </c>
    </row>
    <row r="3092" spans="2:6" x14ac:dyDescent="0.2">
      <c r="B3092" s="101" t="s">
        <v>64</v>
      </c>
      <c r="C3092" s="30" t="s">
        <v>402</v>
      </c>
      <c r="D3092" s="101">
        <v>800</v>
      </c>
      <c r="E3092" s="183"/>
      <c r="F3092" s="99">
        <f>6.93+7.08</f>
        <v>14.01</v>
      </c>
    </row>
    <row r="3093" spans="2:6" x14ac:dyDescent="0.2">
      <c r="B3093" s="101" t="s">
        <v>64</v>
      </c>
      <c r="C3093" s="30" t="s">
        <v>402</v>
      </c>
      <c r="D3093" s="101">
        <v>800</v>
      </c>
      <c r="E3093" s="183"/>
      <c r="F3093" s="99">
        <v>4.63</v>
      </c>
    </row>
    <row r="3094" spans="2:6" x14ac:dyDescent="0.2">
      <c r="B3094" s="101" t="s">
        <v>64</v>
      </c>
      <c r="C3094" s="30" t="s">
        <v>402</v>
      </c>
      <c r="D3094" s="101">
        <v>810</v>
      </c>
      <c r="E3094" s="183"/>
      <c r="F3094" s="99">
        <v>8.2899999999999991</v>
      </c>
    </row>
    <row r="3095" spans="2:6" x14ac:dyDescent="0.2">
      <c r="B3095" s="101" t="s">
        <v>64</v>
      </c>
      <c r="C3095" s="30" t="s">
        <v>402</v>
      </c>
      <c r="D3095" s="101">
        <v>950</v>
      </c>
      <c r="E3095" s="183"/>
      <c r="F3095" s="99">
        <v>3.17</v>
      </c>
    </row>
    <row r="3096" spans="2:6" x14ac:dyDescent="0.2">
      <c r="B3096" s="101" t="s">
        <v>64</v>
      </c>
      <c r="C3096" s="30" t="s">
        <v>402</v>
      </c>
      <c r="D3096" s="101" t="s">
        <v>2333</v>
      </c>
      <c r="E3096" s="183"/>
      <c r="F3096" s="99">
        <v>1.91</v>
      </c>
    </row>
    <row r="3097" spans="2:6" x14ac:dyDescent="0.2">
      <c r="B3097" s="101" t="s">
        <v>64</v>
      </c>
      <c r="C3097" s="30" t="s">
        <v>1664</v>
      </c>
      <c r="D3097" s="101">
        <v>420</v>
      </c>
      <c r="E3097" s="183"/>
      <c r="F3097" s="99">
        <v>7.36</v>
      </c>
    </row>
    <row r="3098" spans="2:6" x14ac:dyDescent="0.2">
      <c r="B3098" s="101" t="s">
        <v>64</v>
      </c>
      <c r="C3098" s="30" t="s">
        <v>1664</v>
      </c>
      <c r="D3098" s="101">
        <v>450</v>
      </c>
      <c r="E3098" s="183"/>
      <c r="F3098" s="99">
        <v>5.88</v>
      </c>
    </row>
    <row r="3099" spans="2:6" x14ac:dyDescent="0.2">
      <c r="B3099" s="101" t="s">
        <v>64</v>
      </c>
      <c r="C3099" s="30" t="s">
        <v>1664</v>
      </c>
      <c r="D3099" s="101" t="s">
        <v>1925</v>
      </c>
      <c r="E3099" s="183"/>
      <c r="F3099" s="99">
        <v>1.29</v>
      </c>
    </row>
    <row r="3100" spans="2:6" x14ac:dyDescent="0.2">
      <c r="B3100" s="101" t="s">
        <v>64</v>
      </c>
      <c r="C3100" s="30" t="s">
        <v>1664</v>
      </c>
      <c r="D3100" s="101">
        <v>510</v>
      </c>
      <c r="E3100" s="183"/>
      <c r="F3100" s="99">
        <v>8.39</v>
      </c>
    </row>
    <row r="3101" spans="2:6" x14ac:dyDescent="0.2">
      <c r="B3101" s="101" t="s">
        <v>64</v>
      </c>
      <c r="C3101" s="30" t="s">
        <v>1664</v>
      </c>
      <c r="D3101" s="101">
        <v>660</v>
      </c>
      <c r="E3101" s="183"/>
      <c r="F3101" s="99">
        <v>8.3000000000000007</v>
      </c>
    </row>
    <row r="3102" spans="2:6" x14ac:dyDescent="0.2">
      <c r="B3102" s="101" t="s">
        <v>64</v>
      </c>
      <c r="C3102" s="30" t="s">
        <v>1664</v>
      </c>
      <c r="D3102" s="101">
        <v>680</v>
      </c>
      <c r="E3102" s="25"/>
      <c r="F3102" s="99">
        <v>8.39</v>
      </c>
    </row>
    <row r="3103" spans="2:6" x14ac:dyDescent="0.2">
      <c r="B3103" s="101" t="s">
        <v>64</v>
      </c>
      <c r="C3103" s="30" t="s">
        <v>2108</v>
      </c>
      <c r="D3103" s="101" t="s">
        <v>2109</v>
      </c>
      <c r="E3103" s="183"/>
      <c r="F3103" s="99">
        <v>1.44</v>
      </c>
    </row>
    <row r="3104" spans="2:6" x14ac:dyDescent="0.2">
      <c r="B3104" s="101" t="s">
        <v>64</v>
      </c>
      <c r="C3104" s="30" t="s">
        <v>1664</v>
      </c>
      <c r="D3104" s="101" t="s">
        <v>2167</v>
      </c>
      <c r="E3104" s="183"/>
      <c r="F3104" s="99">
        <f>2.31+2.3</f>
        <v>4.6099999999999994</v>
      </c>
    </row>
    <row r="3105" spans="2:6" x14ac:dyDescent="0.2">
      <c r="B3105" s="101" t="s">
        <v>64</v>
      </c>
      <c r="C3105" s="30" t="s">
        <v>1664</v>
      </c>
      <c r="D3105" s="101" t="s">
        <v>2174</v>
      </c>
      <c r="E3105" s="183"/>
      <c r="F3105" s="99">
        <v>2.37</v>
      </c>
    </row>
    <row r="3106" spans="2:6" x14ac:dyDescent="0.2">
      <c r="B3106" s="101" t="s">
        <v>64</v>
      </c>
      <c r="C3106" s="30" t="s">
        <v>1664</v>
      </c>
      <c r="D3106" s="101" t="s">
        <v>2189</v>
      </c>
      <c r="E3106" s="183"/>
      <c r="F3106" s="99">
        <v>2.36</v>
      </c>
    </row>
    <row r="3107" spans="2:6" x14ac:dyDescent="0.2">
      <c r="B3107" s="101" t="s">
        <v>64</v>
      </c>
      <c r="C3107" s="30" t="s">
        <v>1664</v>
      </c>
      <c r="D3107" s="101" t="s">
        <v>2190</v>
      </c>
      <c r="E3107" s="183"/>
      <c r="F3107" s="99">
        <v>2.38</v>
      </c>
    </row>
    <row r="3108" spans="2:6" x14ac:dyDescent="0.2">
      <c r="B3108" s="101" t="s">
        <v>64</v>
      </c>
      <c r="C3108" s="30" t="s">
        <v>1664</v>
      </c>
      <c r="D3108" s="101">
        <v>1000</v>
      </c>
      <c r="E3108" s="183"/>
      <c r="F3108" s="99">
        <v>7.85</v>
      </c>
    </row>
    <row r="3109" spans="2:6" x14ac:dyDescent="0.2">
      <c r="B3109" s="101" t="s">
        <v>64</v>
      </c>
      <c r="C3109" s="30" t="s">
        <v>1664</v>
      </c>
      <c r="D3109" s="101" t="s">
        <v>2324</v>
      </c>
      <c r="E3109" s="183"/>
      <c r="F3109" s="99">
        <v>1.87</v>
      </c>
    </row>
    <row r="3110" spans="2:6" x14ac:dyDescent="0.2">
      <c r="B3110" s="101" t="s">
        <v>64</v>
      </c>
      <c r="C3110" s="30" t="s">
        <v>1664</v>
      </c>
      <c r="D3110" s="101" t="s">
        <v>2332</v>
      </c>
      <c r="E3110" s="183"/>
      <c r="F3110" s="99">
        <v>1.79</v>
      </c>
    </row>
    <row r="3111" spans="2:6" x14ac:dyDescent="0.2">
      <c r="B3111" s="101" t="s">
        <v>64</v>
      </c>
      <c r="C3111" s="30" t="s">
        <v>1664</v>
      </c>
      <c r="D3111" s="101" t="s">
        <v>2337</v>
      </c>
      <c r="E3111" s="183"/>
      <c r="F3111" s="99">
        <v>1.86</v>
      </c>
    </row>
    <row r="3112" spans="2:6" x14ac:dyDescent="0.2">
      <c r="B3112" s="101" t="s">
        <v>64</v>
      </c>
      <c r="C3112" s="30" t="s">
        <v>1703</v>
      </c>
      <c r="D3112" s="101">
        <v>380</v>
      </c>
      <c r="E3112" s="183"/>
      <c r="F3112" s="99">
        <v>5.92</v>
      </c>
    </row>
    <row r="3113" spans="2:6" x14ac:dyDescent="0.2">
      <c r="B3113" s="101" t="s">
        <v>64</v>
      </c>
      <c r="C3113" s="30" t="s">
        <v>1703</v>
      </c>
      <c r="D3113" s="101">
        <v>400</v>
      </c>
      <c r="E3113" s="183"/>
      <c r="F3113" s="99">
        <v>5.96</v>
      </c>
    </row>
    <row r="3114" spans="2:6" x14ac:dyDescent="0.2">
      <c r="B3114" s="101" t="s">
        <v>64</v>
      </c>
      <c r="C3114" s="30" t="s">
        <v>1703</v>
      </c>
      <c r="D3114" s="101">
        <v>410</v>
      </c>
      <c r="E3114" s="183"/>
      <c r="F3114" s="99">
        <v>4.95</v>
      </c>
    </row>
    <row r="3115" spans="2:6" x14ac:dyDescent="0.2">
      <c r="B3115" s="101" t="s">
        <v>64</v>
      </c>
      <c r="C3115" s="30" t="s">
        <v>1703</v>
      </c>
      <c r="D3115" s="101" t="s">
        <v>1845</v>
      </c>
      <c r="E3115" s="183"/>
      <c r="F3115" s="99">
        <v>0.33</v>
      </c>
    </row>
    <row r="3116" spans="2:6" x14ac:dyDescent="0.2">
      <c r="B3116" s="101" t="s">
        <v>64</v>
      </c>
      <c r="C3116" s="30" t="s">
        <v>1703</v>
      </c>
      <c r="D3116" s="101">
        <v>470</v>
      </c>
      <c r="E3116" s="183"/>
      <c r="F3116" s="99">
        <v>7.35</v>
      </c>
    </row>
    <row r="3117" spans="2:6" x14ac:dyDescent="0.2">
      <c r="B3117" s="101" t="s">
        <v>64</v>
      </c>
      <c r="C3117" s="30" t="s">
        <v>1703</v>
      </c>
      <c r="D3117" s="101" t="s">
        <v>2277</v>
      </c>
      <c r="E3117" s="183"/>
      <c r="F3117" s="99">
        <v>1.73</v>
      </c>
    </row>
    <row r="3118" spans="2:6" x14ac:dyDescent="0.2">
      <c r="B3118" s="101" t="s">
        <v>64</v>
      </c>
      <c r="C3118" s="30" t="s">
        <v>1936</v>
      </c>
      <c r="D3118" s="101">
        <v>530</v>
      </c>
      <c r="E3118" s="183"/>
      <c r="F3118" s="99">
        <v>7.12</v>
      </c>
    </row>
    <row r="3119" spans="2:6" x14ac:dyDescent="0.2">
      <c r="B3119" s="101" t="s">
        <v>64</v>
      </c>
      <c r="C3119" s="30" t="s">
        <v>1936</v>
      </c>
      <c r="D3119" s="101">
        <v>560</v>
      </c>
      <c r="E3119" s="183"/>
      <c r="F3119" s="99">
        <v>8.83</v>
      </c>
    </row>
    <row r="3120" spans="2:6" x14ac:dyDescent="0.2">
      <c r="B3120" s="101" t="s">
        <v>64</v>
      </c>
      <c r="C3120" s="30" t="s">
        <v>1936</v>
      </c>
      <c r="D3120" s="101">
        <v>600</v>
      </c>
      <c r="E3120" s="183"/>
      <c r="F3120" s="99">
        <v>8.86</v>
      </c>
    </row>
    <row r="3121" spans="2:6" x14ac:dyDescent="0.2">
      <c r="B3121" s="101" t="s">
        <v>64</v>
      </c>
      <c r="C3121" s="30" t="s">
        <v>1936</v>
      </c>
      <c r="D3121" s="101">
        <v>900</v>
      </c>
      <c r="E3121" s="183"/>
      <c r="F3121" s="99">
        <v>7.42</v>
      </c>
    </row>
    <row r="3122" spans="2:6" x14ac:dyDescent="0.2">
      <c r="B3122" s="101" t="s">
        <v>64</v>
      </c>
      <c r="C3122" s="30" t="s">
        <v>1667</v>
      </c>
      <c r="D3122" s="101">
        <v>360</v>
      </c>
      <c r="E3122" s="183"/>
      <c r="F3122" s="99">
        <v>6.23</v>
      </c>
    </row>
    <row r="3123" spans="2:6" x14ac:dyDescent="0.2">
      <c r="B3123" s="101" t="s">
        <v>64</v>
      </c>
      <c r="C3123" s="30" t="s">
        <v>1667</v>
      </c>
      <c r="D3123" s="101">
        <v>380</v>
      </c>
      <c r="E3123" s="183"/>
      <c r="F3123" s="99">
        <v>6.16</v>
      </c>
    </row>
    <row r="3124" spans="2:6" x14ac:dyDescent="0.2">
      <c r="B3124" s="101" t="s">
        <v>64</v>
      </c>
      <c r="C3124" s="30" t="s">
        <v>1667</v>
      </c>
      <c r="D3124" s="101">
        <v>460</v>
      </c>
      <c r="E3124" s="25"/>
      <c r="F3124" s="99">
        <v>5.93</v>
      </c>
    </row>
    <row r="3125" spans="2:6" x14ac:dyDescent="0.2">
      <c r="B3125" s="101" t="s">
        <v>64</v>
      </c>
      <c r="C3125" s="30" t="s">
        <v>1667</v>
      </c>
      <c r="D3125" s="101">
        <v>480</v>
      </c>
      <c r="E3125" s="183"/>
      <c r="F3125" s="99">
        <v>6</v>
      </c>
    </row>
    <row r="3126" spans="2:6" x14ac:dyDescent="0.2">
      <c r="B3126" s="101" t="s">
        <v>64</v>
      </c>
      <c r="C3126" s="30" t="s">
        <v>1667</v>
      </c>
      <c r="D3126" s="101">
        <v>520</v>
      </c>
      <c r="E3126" s="183"/>
      <c r="F3126" s="99">
        <v>7.11</v>
      </c>
    </row>
    <row r="3127" spans="2:6" x14ac:dyDescent="0.2">
      <c r="B3127" s="101" t="s">
        <v>64</v>
      </c>
      <c r="C3127" s="30" t="s">
        <v>1667</v>
      </c>
      <c r="D3127" s="101">
        <v>540</v>
      </c>
      <c r="E3127" s="183"/>
      <c r="F3127" s="99">
        <v>8.84</v>
      </c>
    </row>
    <row r="3128" spans="2:6" x14ac:dyDescent="0.2">
      <c r="B3128" s="101" t="s">
        <v>64</v>
      </c>
      <c r="C3128" s="30" t="s">
        <v>1667</v>
      </c>
      <c r="D3128" s="101">
        <v>580</v>
      </c>
      <c r="E3128" s="25"/>
      <c r="F3128" s="99">
        <v>8.9700000000000006</v>
      </c>
    </row>
    <row r="3129" spans="2:6" x14ac:dyDescent="0.2">
      <c r="B3129" s="101" t="s">
        <v>64</v>
      </c>
      <c r="C3129" s="30" t="s">
        <v>1667</v>
      </c>
      <c r="D3129" s="101" t="s">
        <v>1976</v>
      </c>
      <c r="E3129" s="183"/>
      <c r="F3129" s="99"/>
    </row>
    <row r="3130" spans="2:6" x14ac:dyDescent="0.2">
      <c r="B3130" s="101" t="s">
        <v>64</v>
      </c>
      <c r="C3130" s="30" t="s">
        <v>1667</v>
      </c>
      <c r="D3130" s="101">
        <v>880</v>
      </c>
      <c r="E3130" s="183"/>
      <c r="F3130" s="99">
        <v>7.64</v>
      </c>
    </row>
    <row r="3131" spans="2:6" x14ac:dyDescent="0.2">
      <c r="B3131" s="101" t="s">
        <v>64</v>
      </c>
      <c r="C3131" s="30" t="s">
        <v>1679</v>
      </c>
      <c r="D3131" s="101">
        <v>370</v>
      </c>
      <c r="E3131" s="183"/>
      <c r="F3131" s="99">
        <v>2.33</v>
      </c>
    </row>
    <row r="3132" spans="2:6" x14ac:dyDescent="0.2">
      <c r="B3132" s="101" t="s">
        <v>64</v>
      </c>
      <c r="C3132" s="30" t="s">
        <v>1679</v>
      </c>
      <c r="D3132" s="101">
        <v>370</v>
      </c>
      <c r="E3132" s="25"/>
      <c r="F3132" s="99">
        <v>0.4</v>
      </c>
    </row>
    <row r="3133" spans="2:6" x14ac:dyDescent="0.2">
      <c r="B3133" s="101" t="s">
        <v>64</v>
      </c>
      <c r="C3133" s="30" t="s">
        <v>1679</v>
      </c>
      <c r="D3133" s="101" t="s">
        <v>1721</v>
      </c>
      <c r="E3133" s="183"/>
      <c r="F3133" s="99"/>
    </row>
    <row r="3134" spans="2:6" x14ac:dyDescent="0.2">
      <c r="B3134" s="101" t="s">
        <v>64</v>
      </c>
      <c r="C3134" s="165" t="s">
        <v>1679</v>
      </c>
      <c r="D3134" s="187">
        <v>400</v>
      </c>
      <c r="E3134" s="185"/>
      <c r="F3134" s="34">
        <v>0.23</v>
      </c>
    </row>
    <row r="3135" spans="2:6" x14ac:dyDescent="0.2">
      <c r="B3135" s="101" t="s">
        <v>64</v>
      </c>
      <c r="C3135" s="30" t="s">
        <v>1679</v>
      </c>
      <c r="D3135" s="101" t="s">
        <v>1856</v>
      </c>
      <c r="E3135" s="183"/>
      <c r="F3135" s="99">
        <v>1.82</v>
      </c>
    </row>
    <row r="3136" spans="2:6" x14ac:dyDescent="0.2">
      <c r="B3136" s="101" t="s">
        <v>64</v>
      </c>
      <c r="C3136" s="30" t="s">
        <v>1679</v>
      </c>
      <c r="D3136" s="101">
        <v>460</v>
      </c>
      <c r="E3136" s="183"/>
      <c r="F3136" s="99">
        <v>0.97</v>
      </c>
    </row>
    <row r="3137" spans="2:6" x14ac:dyDescent="0.2">
      <c r="B3137" s="101" t="s">
        <v>64</v>
      </c>
      <c r="C3137" s="30" t="s">
        <v>1679</v>
      </c>
      <c r="D3137" s="101" t="s">
        <v>1978</v>
      </c>
      <c r="E3137" s="25"/>
      <c r="F3137" s="99">
        <v>0.625</v>
      </c>
    </row>
    <row r="3138" spans="2:6" x14ac:dyDescent="0.2">
      <c r="B3138" s="101" t="s">
        <v>64</v>
      </c>
      <c r="C3138" s="30" t="s">
        <v>1679</v>
      </c>
      <c r="D3138" s="101" t="s">
        <v>1979</v>
      </c>
      <c r="E3138" s="183"/>
      <c r="F3138" s="99">
        <v>1.7</v>
      </c>
    </row>
    <row r="3139" spans="2:6" x14ac:dyDescent="0.2">
      <c r="B3139" s="101" t="s">
        <v>64</v>
      </c>
      <c r="C3139" s="30" t="s">
        <v>1679</v>
      </c>
      <c r="D3139" s="101" t="s">
        <v>2006</v>
      </c>
      <c r="E3139" s="183"/>
      <c r="F3139" s="99"/>
    </row>
    <row r="3140" spans="2:6" x14ac:dyDescent="0.2">
      <c r="B3140" s="101" t="s">
        <v>64</v>
      </c>
      <c r="C3140" s="30" t="s">
        <v>1679</v>
      </c>
      <c r="D3140" s="101" t="s">
        <v>2013</v>
      </c>
      <c r="E3140" s="183"/>
      <c r="F3140" s="99">
        <v>0.41</v>
      </c>
    </row>
    <row r="3141" spans="2:6" x14ac:dyDescent="0.2">
      <c r="B3141" s="101" t="s">
        <v>64</v>
      </c>
      <c r="C3141" s="30" t="s">
        <v>1679</v>
      </c>
      <c r="D3141" s="101">
        <v>690</v>
      </c>
      <c r="E3141" s="183"/>
      <c r="F3141" s="99">
        <v>3.16</v>
      </c>
    </row>
    <row r="3142" spans="2:6" x14ac:dyDescent="0.2">
      <c r="B3142" s="101" t="s">
        <v>64</v>
      </c>
      <c r="C3142" s="30" t="s">
        <v>1679</v>
      </c>
      <c r="D3142" s="101" t="s">
        <v>2069</v>
      </c>
      <c r="E3142" s="183"/>
      <c r="F3142" s="99">
        <v>0.76</v>
      </c>
    </row>
    <row r="3143" spans="2:6" x14ac:dyDescent="0.2">
      <c r="B3143" s="101" t="s">
        <v>64</v>
      </c>
      <c r="C3143" s="30" t="s">
        <v>1679</v>
      </c>
      <c r="D3143" s="101" t="s">
        <v>2070</v>
      </c>
      <c r="E3143" s="183"/>
      <c r="F3143" s="99">
        <v>0.39</v>
      </c>
    </row>
    <row r="3144" spans="2:6" x14ac:dyDescent="0.2">
      <c r="B3144" s="101" t="s">
        <v>64</v>
      </c>
      <c r="C3144" s="30" t="s">
        <v>1679</v>
      </c>
      <c r="D3144" s="101" t="s">
        <v>2187</v>
      </c>
      <c r="E3144" s="183"/>
      <c r="F3144" s="99">
        <v>1.7</v>
      </c>
    </row>
    <row r="3145" spans="2:6" x14ac:dyDescent="0.2">
      <c r="B3145" s="101" t="s">
        <v>64</v>
      </c>
      <c r="C3145" s="30" t="s">
        <v>1679</v>
      </c>
      <c r="D3145" s="101" t="s">
        <v>2261</v>
      </c>
      <c r="E3145" s="183"/>
      <c r="F3145" s="99">
        <v>1.72</v>
      </c>
    </row>
    <row r="3146" spans="2:6" x14ac:dyDescent="0.2">
      <c r="B3146" s="101" t="s">
        <v>64</v>
      </c>
      <c r="C3146" s="30" t="s">
        <v>1679</v>
      </c>
      <c r="D3146" s="101" t="s">
        <v>2266</v>
      </c>
      <c r="E3146" s="183"/>
      <c r="F3146" s="99">
        <v>1.81</v>
      </c>
    </row>
    <row r="3147" spans="2:6" x14ac:dyDescent="0.2">
      <c r="B3147" s="101" t="s">
        <v>64</v>
      </c>
      <c r="C3147" s="30" t="s">
        <v>1679</v>
      </c>
      <c r="D3147" s="101" t="s">
        <v>2276</v>
      </c>
      <c r="E3147" s="183"/>
      <c r="F3147" s="99"/>
    </row>
    <row r="3148" spans="2:6" x14ac:dyDescent="0.2">
      <c r="B3148" s="101" t="s">
        <v>64</v>
      </c>
      <c r="C3148" s="30" t="s">
        <v>1679</v>
      </c>
      <c r="D3148" s="101" t="s">
        <v>2294</v>
      </c>
      <c r="E3148" s="183"/>
      <c r="F3148" s="99">
        <v>2.2200000000000002</v>
      </c>
    </row>
    <row r="3149" spans="2:6" x14ac:dyDescent="0.2">
      <c r="B3149" s="101" t="s">
        <v>64</v>
      </c>
      <c r="C3149" s="30" t="s">
        <v>1679</v>
      </c>
      <c r="D3149" s="101" t="s">
        <v>2307</v>
      </c>
      <c r="E3149" s="183"/>
      <c r="F3149" s="99">
        <v>2.2250000000000001</v>
      </c>
    </row>
    <row r="3150" spans="2:6" x14ac:dyDescent="0.2">
      <c r="B3150" s="101" t="s">
        <v>64</v>
      </c>
      <c r="C3150" s="30" t="s">
        <v>1679</v>
      </c>
      <c r="D3150" s="101" t="s">
        <v>2308</v>
      </c>
      <c r="E3150" s="183"/>
      <c r="F3150" s="99">
        <v>1.915</v>
      </c>
    </row>
    <row r="3151" spans="2:6" x14ac:dyDescent="0.2">
      <c r="B3151" s="101" t="s">
        <v>64</v>
      </c>
      <c r="C3151" s="30" t="s">
        <v>1679</v>
      </c>
      <c r="D3151" s="101" t="s">
        <v>2315</v>
      </c>
      <c r="E3151" s="183"/>
      <c r="F3151" s="99">
        <v>2.0699999999999998</v>
      </c>
    </row>
    <row r="3152" spans="2:6" x14ac:dyDescent="0.2">
      <c r="B3152" s="101" t="s">
        <v>64</v>
      </c>
      <c r="C3152" s="30" t="s">
        <v>1769</v>
      </c>
      <c r="D3152" s="101">
        <v>355</v>
      </c>
      <c r="E3152" s="183"/>
      <c r="F3152" s="99">
        <v>0.08</v>
      </c>
    </row>
    <row r="3153" spans="2:6" x14ac:dyDescent="0.2">
      <c r="B3153" s="101" t="s">
        <v>64</v>
      </c>
      <c r="C3153" s="30" t="s">
        <v>1608</v>
      </c>
      <c r="D3153" s="101" t="s">
        <v>1838</v>
      </c>
      <c r="E3153" s="183"/>
      <c r="F3153" s="99">
        <v>1</v>
      </c>
    </row>
    <row r="3154" spans="2:6" x14ac:dyDescent="0.2">
      <c r="B3154" s="101" t="s">
        <v>64</v>
      </c>
      <c r="C3154" s="30" t="s">
        <v>1608</v>
      </c>
      <c r="D3154" s="101" t="s">
        <v>1896</v>
      </c>
      <c r="E3154" s="183"/>
      <c r="F3154" s="99">
        <v>1</v>
      </c>
    </row>
    <row r="3155" spans="2:6" x14ac:dyDescent="0.2">
      <c r="B3155" s="101" t="s">
        <v>64</v>
      </c>
      <c r="C3155" s="30" t="s">
        <v>1608</v>
      </c>
      <c r="D3155" s="101" t="s">
        <v>2044</v>
      </c>
      <c r="E3155" s="183"/>
      <c r="F3155" s="99">
        <v>2.75</v>
      </c>
    </row>
    <row r="3156" spans="2:6" x14ac:dyDescent="0.2">
      <c r="B3156" s="101" t="s">
        <v>64</v>
      </c>
      <c r="C3156" s="30" t="s">
        <v>1608</v>
      </c>
      <c r="D3156" s="101" t="s">
        <v>2045</v>
      </c>
      <c r="E3156" s="183"/>
      <c r="F3156" s="99">
        <v>5.85</v>
      </c>
    </row>
    <row r="3157" spans="2:6" x14ac:dyDescent="0.2">
      <c r="B3157" s="101" t="s">
        <v>64</v>
      </c>
      <c r="C3157" s="30" t="s">
        <v>1608</v>
      </c>
      <c r="D3157" s="101" t="s">
        <v>2045</v>
      </c>
      <c r="E3157" s="183"/>
      <c r="F3157" s="99">
        <v>5.74</v>
      </c>
    </row>
    <row r="3158" spans="2:6" x14ac:dyDescent="0.2">
      <c r="B3158" s="101" t="s">
        <v>64</v>
      </c>
      <c r="C3158" s="30" t="s">
        <v>1608</v>
      </c>
      <c r="D3158" s="101" t="s">
        <v>2127</v>
      </c>
      <c r="E3158" s="183"/>
      <c r="F3158" s="99">
        <v>1.48</v>
      </c>
    </row>
    <row r="3159" spans="2:6" x14ac:dyDescent="0.2">
      <c r="B3159" s="101" t="s">
        <v>64</v>
      </c>
      <c r="C3159" s="30" t="s">
        <v>1608</v>
      </c>
      <c r="D3159" s="101" t="s">
        <v>2188</v>
      </c>
      <c r="E3159" s="183"/>
      <c r="F3159" s="99">
        <v>0.81</v>
      </c>
    </row>
    <row r="3160" spans="2:6" x14ac:dyDescent="0.2">
      <c r="B3160" s="101" t="s">
        <v>64</v>
      </c>
      <c r="C3160" s="30" t="s">
        <v>2278</v>
      </c>
      <c r="D3160" s="101" t="s">
        <v>2279</v>
      </c>
      <c r="E3160" s="183"/>
      <c r="F3160" s="99">
        <v>0.76</v>
      </c>
    </row>
    <row r="3161" spans="2:6" x14ac:dyDescent="0.2">
      <c r="B3161" s="101" t="s">
        <v>64</v>
      </c>
      <c r="C3161" s="30" t="s">
        <v>306</v>
      </c>
      <c r="D3161" s="101" t="s">
        <v>2553</v>
      </c>
      <c r="E3161" s="183"/>
      <c r="F3161" s="99"/>
    </row>
    <row r="3162" spans="2:6" x14ac:dyDescent="0.2">
      <c r="B3162" s="101" t="s">
        <v>64</v>
      </c>
      <c r="C3162" s="30" t="s">
        <v>1797</v>
      </c>
      <c r="D3162" s="101">
        <v>380</v>
      </c>
      <c r="E3162" s="183"/>
      <c r="F3162" s="99">
        <v>1.53</v>
      </c>
    </row>
    <row r="3163" spans="2:6" x14ac:dyDescent="0.2">
      <c r="B3163" s="101" t="s">
        <v>64</v>
      </c>
      <c r="C3163" s="30" t="s">
        <v>746</v>
      </c>
      <c r="D3163" s="101" t="s">
        <v>1786</v>
      </c>
      <c r="E3163" s="183"/>
      <c r="F3163" s="99">
        <v>3.76</v>
      </c>
    </row>
    <row r="3164" spans="2:6" x14ac:dyDescent="0.2">
      <c r="B3164" s="101" t="s">
        <v>64</v>
      </c>
      <c r="C3164" s="30" t="s">
        <v>746</v>
      </c>
      <c r="D3164" s="101" t="s">
        <v>1798</v>
      </c>
      <c r="E3164" s="183"/>
      <c r="F3164" s="99">
        <v>0.26</v>
      </c>
    </row>
    <row r="3165" spans="2:6" x14ac:dyDescent="0.2">
      <c r="B3165" s="101" t="s">
        <v>64</v>
      </c>
      <c r="C3165" s="30" t="s">
        <v>746</v>
      </c>
      <c r="D3165" s="101">
        <v>420</v>
      </c>
      <c r="E3165" s="183"/>
      <c r="F3165" s="99">
        <v>0.22</v>
      </c>
    </row>
    <row r="3166" spans="2:6" x14ac:dyDescent="0.2">
      <c r="B3166" s="101" t="s">
        <v>64</v>
      </c>
      <c r="C3166" s="30" t="s">
        <v>746</v>
      </c>
      <c r="D3166" s="101" t="s">
        <v>1836</v>
      </c>
      <c r="E3166" s="183"/>
      <c r="F3166" s="99">
        <v>4.4800000000000004</v>
      </c>
    </row>
    <row r="3167" spans="2:6" x14ac:dyDescent="0.2">
      <c r="B3167" s="101" t="s">
        <v>64</v>
      </c>
      <c r="C3167" s="30" t="s">
        <v>746</v>
      </c>
      <c r="D3167" s="101" t="s">
        <v>1837</v>
      </c>
      <c r="E3167" s="183"/>
      <c r="F3167" s="99">
        <v>0.17</v>
      </c>
    </row>
    <row r="3168" spans="2:6" x14ac:dyDescent="0.2">
      <c r="B3168" s="101" t="s">
        <v>64</v>
      </c>
      <c r="C3168" s="30" t="s">
        <v>746</v>
      </c>
      <c r="D3168" s="101">
        <v>440</v>
      </c>
      <c r="E3168" s="183"/>
      <c r="F3168" s="99">
        <v>1.19</v>
      </c>
    </row>
    <row r="3169" spans="2:6" x14ac:dyDescent="0.2">
      <c r="B3169" s="101" t="s">
        <v>64</v>
      </c>
      <c r="C3169" s="30" t="s">
        <v>746</v>
      </c>
      <c r="D3169" s="101">
        <v>480</v>
      </c>
      <c r="E3169" s="183"/>
      <c r="F3169" s="99">
        <v>5.96</v>
      </c>
    </row>
    <row r="3170" spans="2:6" x14ac:dyDescent="0.2">
      <c r="B3170" s="101" t="s">
        <v>64</v>
      </c>
      <c r="C3170" s="30" t="s">
        <v>746</v>
      </c>
      <c r="D3170" s="101">
        <v>480</v>
      </c>
      <c r="E3170" s="183"/>
      <c r="F3170" s="99">
        <v>0.73</v>
      </c>
    </row>
    <row r="3171" spans="2:6" x14ac:dyDescent="0.2">
      <c r="B3171" s="101" t="s">
        <v>64</v>
      </c>
      <c r="C3171" s="30" t="s">
        <v>746</v>
      </c>
      <c r="D3171" s="101" t="s">
        <v>1939</v>
      </c>
      <c r="E3171" s="183"/>
      <c r="F3171" s="99"/>
    </row>
    <row r="3172" spans="2:6" x14ac:dyDescent="0.2">
      <c r="B3172" s="101" t="s">
        <v>64</v>
      </c>
      <c r="C3172" s="30" t="s">
        <v>746</v>
      </c>
      <c r="D3172" s="101" t="s">
        <v>1975</v>
      </c>
      <c r="E3172" s="25"/>
      <c r="F3172" s="99">
        <v>0.97</v>
      </c>
    </row>
    <row r="3173" spans="2:6" x14ac:dyDescent="0.2">
      <c r="B3173" s="101" t="s">
        <v>64</v>
      </c>
      <c r="C3173" s="30" t="s">
        <v>746</v>
      </c>
      <c r="D3173" s="101" t="s">
        <v>1786</v>
      </c>
      <c r="E3173" s="183"/>
      <c r="F3173" s="99">
        <v>4.42</v>
      </c>
    </row>
    <row r="3174" spans="2:6" x14ac:dyDescent="0.2">
      <c r="B3174" s="101" t="s">
        <v>64</v>
      </c>
      <c r="C3174" s="30" t="s">
        <v>746</v>
      </c>
      <c r="D3174" s="101" t="s">
        <v>2212</v>
      </c>
      <c r="E3174" s="183"/>
      <c r="F3174" s="99">
        <v>0.84</v>
      </c>
    </row>
    <row r="3175" spans="2:6" x14ac:dyDescent="0.2">
      <c r="B3175" s="101" t="s">
        <v>64</v>
      </c>
      <c r="C3175" s="30" t="s">
        <v>746</v>
      </c>
      <c r="D3175" s="101" t="s">
        <v>2382</v>
      </c>
      <c r="E3175" s="183"/>
      <c r="F3175" s="99">
        <v>6.3</v>
      </c>
    </row>
    <row r="3176" spans="2:6" x14ac:dyDescent="0.2">
      <c r="B3176" s="101" t="s">
        <v>64</v>
      </c>
      <c r="C3176" s="30" t="s">
        <v>1964</v>
      </c>
      <c r="D3176" s="101" t="s">
        <v>1965</v>
      </c>
      <c r="E3176" s="25"/>
      <c r="F3176" s="99">
        <v>1.98</v>
      </c>
    </row>
    <row r="3177" spans="2:6" x14ac:dyDescent="0.2">
      <c r="B3177" s="101" t="s">
        <v>64</v>
      </c>
      <c r="C3177" s="30" t="s">
        <v>1964</v>
      </c>
      <c r="D3177" s="101" t="s">
        <v>2213</v>
      </c>
      <c r="E3177" s="183"/>
      <c r="F3177" s="99">
        <v>0.84</v>
      </c>
    </row>
    <row r="3178" spans="2:6" x14ac:dyDescent="0.2">
      <c r="B3178" s="101" t="s">
        <v>64</v>
      </c>
      <c r="C3178" s="30" t="s">
        <v>1964</v>
      </c>
      <c r="D3178" s="101" t="s">
        <v>2598</v>
      </c>
      <c r="E3178" s="183"/>
      <c r="F3178" s="99">
        <v>1.98</v>
      </c>
    </row>
    <row r="3179" spans="2:6" x14ac:dyDescent="0.2">
      <c r="B3179" s="101" t="s">
        <v>64</v>
      </c>
      <c r="C3179" s="30" t="s">
        <v>1756</v>
      </c>
      <c r="D3179" s="101" t="s">
        <v>2504</v>
      </c>
      <c r="E3179" s="183"/>
      <c r="F3179" s="99"/>
    </row>
    <row r="3180" spans="2:6" x14ac:dyDescent="0.2">
      <c r="B3180" s="101" t="s">
        <v>64</v>
      </c>
      <c r="C3180" s="30" t="s">
        <v>1756</v>
      </c>
      <c r="D3180" s="101" t="s">
        <v>2323</v>
      </c>
      <c r="E3180" s="183"/>
      <c r="F3180" s="99">
        <v>1.4</v>
      </c>
    </row>
    <row r="3181" spans="2:6" x14ac:dyDescent="0.2">
      <c r="B3181" s="101" t="s">
        <v>64</v>
      </c>
      <c r="C3181" s="30" t="s">
        <v>689</v>
      </c>
      <c r="D3181" s="101" t="s">
        <v>1880</v>
      </c>
      <c r="E3181" s="25"/>
      <c r="F3181" s="99">
        <v>0.28000000000000003</v>
      </c>
    </row>
    <row r="3182" spans="2:6" x14ac:dyDescent="0.2">
      <c r="B3182" s="101" t="s">
        <v>64</v>
      </c>
      <c r="C3182" s="30" t="s">
        <v>1953</v>
      </c>
      <c r="D3182" s="101" t="s">
        <v>1954</v>
      </c>
      <c r="E3182" s="183"/>
      <c r="F3182" s="99">
        <v>0.35</v>
      </c>
    </row>
    <row r="3183" spans="2:6" x14ac:dyDescent="0.2">
      <c r="B3183" s="101" t="s">
        <v>64</v>
      </c>
      <c r="C3183" s="30" t="s">
        <v>689</v>
      </c>
      <c r="D3183" s="101">
        <v>640</v>
      </c>
      <c r="E3183" s="25"/>
      <c r="F3183" s="99">
        <v>0.39</v>
      </c>
    </row>
    <row r="3184" spans="2:6" x14ac:dyDescent="0.2">
      <c r="B3184" s="101" t="s">
        <v>64</v>
      </c>
      <c r="C3184" s="30" t="s">
        <v>689</v>
      </c>
      <c r="D3184" s="101">
        <v>650</v>
      </c>
      <c r="E3184" s="183"/>
      <c r="F3184" s="99">
        <f>2.34</f>
        <v>2.34</v>
      </c>
    </row>
    <row r="3185" spans="2:6" x14ac:dyDescent="0.2">
      <c r="B3185" s="101" t="s">
        <v>64</v>
      </c>
      <c r="C3185" s="30" t="s">
        <v>689</v>
      </c>
      <c r="D3185" s="101">
        <v>660</v>
      </c>
      <c r="E3185" s="183"/>
      <c r="F3185" s="99">
        <f>0.38+0.38+0.38</f>
        <v>1.1400000000000001</v>
      </c>
    </row>
    <row r="3186" spans="2:6" x14ac:dyDescent="0.2">
      <c r="B3186" s="101" t="s">
        <v>64</v>
      </c>
      <c r="C3186" s="30" t="s">
        <v>689</v>
      </c>
      <c r="D3186" s="101" t="s">
        <v>2082</v>
      </c>
      <c r="E3186" s="183"/>
      <c r="F3186" s="99">
        <v>0.73</v>
      </c>
    </row>
    <row r="3187" spans="2:6" x14ac:dyDescent="0.2">
      <c r="B3187" s="101" t="s">
        <v>64</v>
      </c>
      <c r="C3187" s="30" t="s">
        <v>1629</v>
      </c>
      <c r="D3187" s="101">
        <v>360</v>
      </c>
      <c r="E3187" s="183"/>
      <c r="F3187" s="99">
        <v>0.47</v>
      </c>
    </row>
    <row r="3188" spans="2:6" x14ac:dyDescent="0.2">
      <c r="B3188" s="101" t="s">
        <v>64</v>
      </c>
      <c r="C3188" s="165" t="s">
        <v>1629</v>
      </c>
      <c r="D3188" s="187">
        <v>400</v>
      </c>
      <c r="E3188" s="185"/>
      <c r="F3188" s="34">
        <v>0.19</v>
      </c>
    </row>
    <row r="3189" spans="2:6" x14ac:dyDescent="0.2">
      <c r="B3189" s="101" t="s">
        <v>64</v>
      </c>
      <c r="C3189" s="30" t="s">
        <v>1629</v>
      </c>
      <c r="D3189" s="101" t="s">
        <v>1834</v>
      </c>
      <c r="E3189" s="25"/>
      <c r="F3189" s="99">
        <v>0.16</v>
      </c>
    </row>
    <row r="3190" spans="2:6" x14ac:dyDescent="0.2">
      <c r="B3190" s="101" t="s">
        <v>64</v>
      </c>
      <c r="C3190" s="30" t="s">
        <v>1629</v>
      </c>
      <c r="D3190" s="101">
        <v>450</v>
      </c>
      <c r="E3190" s="183"/>
      <c r="F3190" s="99">
        <v>2.29</v>
      </c>
    </row>
    <row r="3191" spans="2:6" x14ac:dyDescent="0.2">
      <c r="B3191" s="101" t="s">
        <v>64</v>
      </c>
      <c r="C3191" s="30" t="s">
        <v>301</v>
      </c>
      <c r="D3191" s="101">
        <v>460</v>
      </c>
      <c r="E3191" s="183"/>
      <c r="F3191" s="99">
        <v>0.155</v>
      </c>
    </row>
    <row r="3192" spans="2:6" x14ac:dyDescent="0.2">
      <c r="B3192" s="101" t="s">
        <v>64</v>
      </c>
      <c r="C3192" s="30" t="s">
        <v>301</v>
      </c>
      <c r="D3192" s="101" t="s">
        <v>1891</v>
      </c>
      <c r="E3192" s="183"/>
      <c r="F3192" s="99"/>
    </row>
    <row r="3193" spans="2:6" x14ac:dyDescent="0.2">
      <c r="B3193" s="101" t="s">
        <v>64</v>
      </c>
      <c r="C3193" s="30" t="s">
        <v>2072</v>
      </c>
      <c r="D3193" s="101" t="s">
        <v>2584</v>
      </c>
      <c r="E3193" s="183"/>
      <c r="F3193" s="99">
        <v>1.18</v>
      </c>
    </row>
    <row r="3194" spans="2:6" x14ac:dyDescent="0.2">
      <c r="B3194" s="101" t="s">
        <v>64</v>
      </c>
      <c r="C3194" s="30" t="s">
        <v>1785</v>
      </c>
      <c r="D3194" s="101">
        <v>370</v>
      </c>
      <c r="E3194" s="25"/>
      <c r="F3194" s="99">
        <f>1.4-0.19</f>
        <v>1.21</v>
      </c>
    </row>
    <row r="3195" spans="2:6" x14ac:dyDescent="0.2">
      <c r="B3195" s="101" t="s">
        <v>64</v>
      </c>
      <c r="C3195" s="30" t="s">
        <v>1571</v>
      </c>
      <c r="D3195" s="101" t="s">
        <v>2563</v>
      </c>
      <c r="E3195" s="25"/>
      <c r="F3195" s="99"/>
    </row>
    <row r="3196" spans="2:6" x14ac:dyDescent="0.2">
      <c r="B3196" s="30" t="s">
        <v>64</v>
      </c>
      <c r="C3196" s="30" t="s">
        <v>404</v>
      </c>
      <c r="D3196" s="30" t="s">
        <v>487</v>
      </c>
      <c r="E3196" s="101"/>
      <c r="F3196" s="99">
        <f>1.29-0.824+(0.004)</f>
        <v>0.47000000000000008</v>
      </c>
    </row>
    <row r="3197" spans="2:6" x14ac:dyDescent="0.2">
      <c r="B3197" s="101" t="s">
        <v>64</v>
      </c>
      <c r="C3197" s="30" t="s">
        <v>404</v>
      </c>
      <c r="D3197" s="101">
        <v>580</v>
      </c>
      <c r="E3197" s="25"/>
      <c r="F3197" s="99">
        <v>0.78</v>
      </c>
    </row>
    <row r="3198" spans="2:6" x14ac:dyDescent="0.2">
      <c r="B3198" s="101" t="s">
        <v>64</v>
      </c>
      <c r="C3198" s="30" t="s">
        <v>404</v>
      </c>
      <c r="D3198" s="101" t="s">
        <v>2590</v>
      </c>
      <c r="E3198" s="183"/>
      <c r="F3198" s="99">
        <v>1.6</v>
      </c>
    </row>
    <row r="3199" spans="2:6" x14ac:dyDescent="0.2">
      <c r="B3199" s="78" t="s">
        <v>64</v>
      </c>
      <c r="C3199" s="174" t="s">
        <v>310</v>
      </c>
      <c r="D3199" s="2" t="s">
        <v>86</v>
      </c>
      <c r="E3199" s="77"/>
      <c r="F3199" s="39">
        <v>0.28999999999999998</v>
      </c>
    </row>
    <row r="3200" spans="2:6" x14ac:dyDescent="0.2">
      <c r="B3200" s="101" t="s">
        <v>64</v>
      </c>
      <c r="C3200" s="30" t="s">
        <v>310</v>
      </c>
      <c r="D3200" s="101">
        <v>400</v>
      </c>
      <c r="E3200" s="183"/>
      <c r="F3200" s="99">
        <v>5.04</v>
      </c>
    </row>
    <row r="3201" spans="2:6" x14ac:dyDescent="0.2">
      <c r="B3201" s="101" t="s">
        <v>64</v>
      </c>
      <c r="C3201" s="30" t="s">
        <v>310</v>
      </c>
      <c r="D3201" s="101">
        <v>420</v>
      </c>
      <c r="E3201" s="183"/>
      <c r="F3201" s="99">
        <v>3.52</v>
      </c>
    </row>
    <row r="3202" spans="2:6" x14ac:dyDescent="0.2">
      <c r="B3202" s="101" t="s">
        <v>64</v>
      </c>
      <c r="C3202" s="30" t="s">
        <v>310</v>
      </c>
      <c r="D3202" s="101">
        <v>430</v>
      </c>
      <c r="E3202" s="183"/>
      <c r="F3202" s="99">
        <v>0.28999999999999998</v>
      </c>
    </row>
    <row r="3203" spans="2:6" x14ac:dyDescent="0.2">
      <c r="B3203" s="101" t="s">
        <v>64</v>
      </c>
      <c r="C3203" s="30" t="s">
        <v>310</v>
      </c>
      <c r="D3203" s="101">
        <v>430</v>
      </c>
      <c r="E3203" s="183"/>
      <c r="F3203" s="99">
        <v>2.73</v>
      </c>
    </row>
    <row r="3204" spans="2:6" x14ac:dyDescent="0.2">
      <c r="B3204" s="101" t="s">
        <v>64</v>
      </c>
      <c r="C3204" s="30" t="s">
        <v>310</v>
      </c>
      <c r="D3204" s="101" t="s">
        <v>1847</v>
      </c>
      <c r="E3204" s="183"/>
      <c r="F3204" s="99">
        <v>0.63</v>
      </c>
    </row>
    <row r="3205" spans="2:6" x14ac:dyDescent="0.2">
      <c r="B3205" s="101" t="s">
        <v>64</v>
      </c>
      <c r="C3205" s="30" t="s">
        <v>310</v>
      </c>
      <c r="D3205" s="101">
        <v>440</v>
      </c>
      <c r="E3205" s="183"/>
      <c r="F3205" s="99">
        <v>6.05</v>
      </c>
    </row>
    <row r="3206" spans="2:6" x14ac:dyDescent="0.2">
      <c r="B3206" s="101" t="s">
        <v>64</v>
      </c>
      <c r="C3206" s="30" t="s">
        <v>310</v>
      </c>
      <c r="D3206" s="101">
        <v>450</v>
      </c>
      <c r="E3206" s="183"/>
      <c r="F3206" s="99">
        <v>5.93</v>
      </c>
    </row>
    <row r="3207" spans="2:6" x14ac:dyDescent="0.2">
      <c r="B3207" s="101" t="s">
        <v>64</v>
      </c>
      <c r="C3207" s="30" t="s">
        <v>310</v>
      </c>
      <c r="D3207" s="101">
        <v>450</v>
      </c>
      <c r="E3207" s="183"/>
      <c r="F3207" s="99">
        <v>2.8</v>
      </c>
    </row>
    <row r="3208" spans="2:6" x14ac:dyDescent="0.2">
      <c r="B3208" s="101" t="s">
        <v>64</v>
      </c>
      <c r="C3208" s="30" t="s">
        <v>310</v>
      </c>
      <c r="D3208" s="101">
        <v>460</v>
      </c>
      <c r="E3208" s="183"/>
      <c r="F3208" s="99">
        <v>0.11</v>
      </c>
    </row>
    <row r="3209" spans="2:6" x14ac:dyDescent="0.2">
      <c r="B3209" s="101" t="s">
        <v>64</v>
      </c>
      <c r="C3209" s="30" t="s">
        <v>310</v>
      </c>
      <c r="D3209" s="101">
        <v>470</v>
      </c>
      <c r="E3209" s="183"/>
      <c r="F3209" s="99">
        <v>7.32</v>
      </c>
    </row>
    <row r="3210" spans="2:6" x14ac:dyDescent="0.2">
      <c r="B3210" s="101" t="s">
        <v>64</v>
      </c>
      <c r="C3210" s="30" t="s">
        <v>310</v>
      </c>
      <c r="D3210" s="101">
        <v>470</v>
      </c>
      <c r="E3210" s="183"/>
      <c r="F3210" s="99">
        <v>3.6</v>
      </c>
    </row>
    <row r="3211" spans="2:6" x14ac:dyDescent="0.2">
      <c r="B3211" s="101" t="s">
        <v>64</v>
      </c>
      <c r="C3211" s="30" t="s">
        <v>310</v>
      </c>
      <c r="D3211" s="101" t="s">
        <v>1897</v>
      </c>
      <c r="E3211" s="183"/>
      <c r="F3211" s="99"/>
    </row>
    <row r="3212" spans="2:6" x14ac:dyDescent="0.2">
      <c r="B3212" s="101" t="s">
        <v>64</v>
      </c>
      <c r="C3212" s="30" t="s">
        <v>310</v>
      </c>
      <c r="D3212" s="101">
        <v>500</v>
      </c>
      <c r="E3212" s="183"/>
      <c r="F3212" s="99">
        <v>4.84</v>
      </c>
    </row>
    <row r="3213" spans="2:6" x14ac:dyDescent="0.2">
      <c r="B3213" s="101" t="s">
        <v>64</v>
      </c>
      <c r="C3213" s="30" t="s">
        <v>310</v>
      </c>
      <c r="D3213" s="101">
        <v>540</v>
      </c>
      <c r="E3213" s="183"/>
      <c r="F3213" s="99">
        <v>4.96</v>
      </c>
    </row>
    <row r="3214" spans="2:6" x14ac:dyDescent="0.2">
      <c r="B3214" s="101" t="s">
        <v>64</v>
      </c>
      <c r="C3214" s="30" t="s">
        <v>310</v>
      </c>
      <c r="D3214" s="101">
        <v>540</v>
      </c>
      <c r="E3214" s="183"/>
      <c r="F3214" s="99">
        <v>3.11</v>
      </c>
    </row>
    <row r="3215" spans="2:6" x14ac:dyDescent="0.2">
      <c r="B3215" s="101" t="s">
        <v>64</v>
      </c>
      <c r="C3215" s="30" t="s">
        <v>310</v>
      </c>
      <c r="D3215" s="101">
        <v>540</v>
      </c>
      <c r="E3215" s="183"/>
      <c r="F3215" s="99">
        <v>0.25</v>
      </c>
    </row>
    <row r="3216" spans="2:6" x14ac:dyDescent="0.2">
      <c r="B3216" s="101" t="s">
        <v>64</v>
      </c>
      <c r="C3216" s="30" t="s">
        <v>310</v>
      </c>
      <c r="D3216" s="101">
        <v>570</v>
      </c>
      <c r="E3216" s="25"/>
      <c r="F3216" s="99">
        <v>6.63</v>
      </c>
    </row>
    <row r="3217" spans="2:6" x14ac:dyDescent="0.2">
      <c r="B3217" s="101" t="s">
        <v>64</v>
      </c>
      <c r="C3217" s="30" t="s">
        <v>310</v>
      </c>
      <c r="D3217" s="101" t="s">
        <v>1996</v>
      </c>
      <c r="E3217" s="183"/>
      <c r="F3217" s="99">
        <v>0.44</v>
      </c>
    </row>
    <row r="3218" spans="2:6" x14ac:dyDescent="0.2">
      <c r="B3218" s="101" t="s">
        <v>64</v>
      </c>
      <c r="C3218" s="30" t="s">
        <v>310</v>
      </c>
      <c r="D3218" s="101">
        <v>750</v>
      </c>
      <c r="E3218" s="183"/>
      <c r="F3218" s="99"/>
    </row>
    <row r="3219" spans="2:6" x14ac:dyDescent="0.2">
      <c r="B3219" s="101" t="s">
        <v>64</v>
      </c>
      <c r="C3219" s="30" t="s">
        <v>2317</v>
      </c>
      <c r="D3219" s="101" t="s">
        <v>2318</v>
      </c>
      <c r="E3219" s="183"/>
      <c r="F3219" s="99">
        <f>1.27+1.3-1.27</f>
        <v>1.3000000000000003</v>
      </c>
    </row>
    <row r="3220" spans="2:6" x14ac:dyDescent="0.2">
      <c r="B3220" s="101" t="s">
        <v>64</v>
      </c>
      <c r="C3220" s="30" t="s">
        <v>1462</v>
      </c>
      <c r="D3220" s="101">
        <v>620</v>
      </c>
      <c r="E3220" s="183"/>
      <c r="F3220" s="99">
        <v>8.69</v>
      </c>
    </row>
    <row r="3221" spans="2:6" x14ac:dyDescent="0.2">
      <c r="B3221" s="101" t="s">
        <v>64</v>
      </c>
      <c r="C3221" s="30" t="s">
        <v>1462</v>
      </c>
      <c r="D3221" s="101" t="s">
        <v>2123</v>
      </c>
      <c r="E3221" s="183"/>
      <c r="F3221" s="99">
        <v>1.19</v>
      </c>
    </row>
    <row r="3222" spans="2:6" x14ac:dyDescent="0.2">
      <c r="B3222" s="78" t="s">
        <v>64</v>
      </c>
      <c r="C3222" s="174" t="s">
        <v>217</v>
      </c>
      <c r="D3222" s="2" t="s">
        <v>71</v>
      </c>
      <c r="E3222" s="77"/>
      <c r="F3222" s="39">
        <v>1.7050000000000001</v>
      </c>
    </row>
    <row r="3223" spans="2:6" x14ac:dyDescent="0.2">
      <c r="B3223" s="78" t="s">
        <v>64</v>
      </c>
      <c r="C3223" s="174" t="s">
        <v>217</v>
      </c>
      <c r="D3223" s="2" t="s">
        <v>73</v>
      </c>
      <c r="E3223" s="77"/>
      <c r="F3223" s="39">
        <v>7.4999999999999997E-2</v>
      </c>
    </row>
    <row r="3224" spans="2:6" x14ac:dyDescent="0.2">
      <c r="B3224" s="78" t="s">
        <v>64</v>
      </c>
      <c r="C3224" s="174" t="s">
        <v>217</v>
      </c>
      <c r="D3224" s="2" t="s">
        <v>77</v>
      </c>
      <c r="E3224" s="77"/>
      <c r="F3224" s="39">
        <v>1.07</v>
      </c>
    </row>
    <row r="3225" spans="2:6" x14ac:dyDescent="0.2">
      <c r="B3225" s="78" t="s">
        <v>64</v>
      </c>
      <c r="C3225" s="174" t="s">
        <v>217</v>
      </c>
      <c r="D3225" s="2" t="s">
        <v>84</v>
      </c>
      <c r="E3225" s="77"/>
      <c r="F3225" s="39">
        <v>0.16</v>
      </c>
    </row>
    <row r="3226" spans="2:6" x14ac:dyDescent="0.2">
      <c r="B3226" s="78" t="s">
        <v>64</v>
      </c>
      <c r="C3226" s="174" t="s">
        <v>217</v>
      </c>
      <c r="D3226" s="2" t="s">
        <v>85</v>
      </c>
      <c r="E3226" s="77"/>
      <c r="F3226" s="39">
        <v>0.35</v>
      </c>
    </row>
    <row r="3227" spans="2:6" x14ac:dyDescent="0.2">
      <c r="B3227" s="78" t="s">
        <v>64</v>
      </c>
      <c r="C3227" s="174" t="s">
        <v>217</v>
      </c>
      <c r="D3227" s="2" t="s">
        <v>89</v>
      </c>
      <c r="E3227" s="77"/>
      <c r="F3227" s="39">
        <v>0.245</v>
      </c>
    </row>
    <row r="3228" spans="2:6" x14ac:dyDescent="0.2">
      <c r="B3228" s="30" t="s">
        <v>64</v>
      </c>
      <c r="C3228" s="30" t="s">
        <v>217</v>
      </c>
      <c r="D3228" s="30" t="s">
        <v>1192</v>
      </c>
      <c r="E3228" s="101"/>
      <c r="F3228" s="99">
        <f>(0.128)</f>
        <v>0.128</v>
      </c>
    </row>
    <row r="3229" spans="2:6" x14ac:dyDescent="0.2">
      <c r="B3229" s="30" t="s">
        <v>64</v>
      </c>
      <c r="C3229" s="30" t="s">
        <v>217</v>
      </c>
      <c r="D3229" s="30" t="s">
        <v>513</v>
      </c>
      <c r="E3229" s="101"/>
      <c r="F3229" s="99">
        <f>(0.216)</f>
        <v>0.216</v>
      </c>
    </row>
    <row r="3230" spans="2:6" x14ac:dyDescent="0.2">
      <c r="B3230" s="30" t="s">
        <v>64</v>
      </c>
      <c r="C3230" s="30" t="s">
        <v>217</v>
      </c>
      <c r="D3230" s="30" t="s">
        <v>514</v>
      </c>
      <c r="E3230" s="101"/>
      <c r="F3230" s="34">
        <f>(0.424)-0.19</f>
        <v>0.23399999999999999</v>
      </c>
    </row>
    <row r="3231" spans="2:6" x14ac:dyDescent="0.2">
      <c r="B3231" s="30" t="s">
        <v>64</v>
      </c>
      <c r="C3231" s="30" t="s">
        <v>217</v>
      </c>
      <c r="D3231" s="30" t="s">
        <v>515</v>
      </c>
      <c r="E3231" s="101"/>
      <c r="F3231" s="34">
        <f>1.485-0.272-0.1-0.184-0.168-(0.128)</f>
        <v>0.63300000000000001</v>
      </c>
    </row>
    <row r="3232" spans="2:6" x14ac:dyDescent="0.2">
      <c r="B3232" s="101" t="s">
        <v>64</v>
      </c>
      <c r="C3232" s="30" t="s">
        <v>217</v>
      </c>
      <c r="D3232" s="101">
        <v>360</v>
      </c>
      <c r="E3232" s="183"/>
      <c r="F3232" s="99">
        <v>5.98</v>
      </c>
    </row>
    <row r="3233" spans="2:6" x14ac:dyDescent="0.2">
      <c r="B3233" s="101" t="s">
        <v>64</v>
      </c>
      <c r="C3233" s="30" t="s">
        <v>217</v>
      </c>
      <c r="D3233" s="101">
        <v>360</v>
      </c>
      <c r="E3233" s="183"/>
      <c r="F3233" s="99">
        <v>6.12</v>
      </c>
    </row>
    <row r="3234" spans="2:6" x14ac:dyDescent="0.2">
      <c r="B3234" s="101" t="s">
        <v>64</v>
      </c>
      <c r="C3234" s="30" t="s">
        <v>217</v>
      </c>
      <c r="D3234" s="101">
        <v>360</v>
      </c>
      <c r="E3234" s="183"/>
      <c r="F3234" s="99">
        <v>5.81</v>
      </c>
    </row>
    <row r="3235" spans="2:6" x14ac:dyDescent="0.2">
      <c r="B3235" s="101" t="s">
        <v>64</v>
      </c>
      <c r="C3235" s="30" t="s">
        <v>217</v>
      </c>
      <c r="D3235" s="101">
        <v>360</v>
      </c>
      <c r="E3235" s="183"/>
      <c r="F3235" s="99">
        <f>1.11+0.19</f>
        <v>1.3</v>
      </c>
    </row>
    <row r="3236" spans="2:6" x14ac:dyDescent="0.2">
      <c r="B3236" s="101" t="s">
        <v>64</v>
      </c>
      <c r="C3236" s="30" t="s">
        <v>217</v>
      </c>
      <c r="D3236" s="101">
        <v>360</v>
      </c>
      <c r="E3236" s="183"/>
      <c r="F3236" s="99">
        <f>0.29+0.28+0.1+0.18+0.35</f>
        <v>1.2000000000000002</v>
      </c>
    </row>
    <row r="3237" spans="2:6" x14ac:dyDescent="0.2">
      <c r="B3237" s="101" t="s">
        <v>64</v>
      </c>
      <c r="C3237" s="30" t="s">
        <v>217</v>
      </c>
      <c r="D3237" s="101">
        <v>360</v>
      </c>
      <c r="E3237" s="183"/>
      <c r="F3237" s="99">
        <v>0.04</v>
      </c>
    </row>
    <row r="3238" spans="2:6" x14ac:dyDescent="0.2">
      <c r="B3238" s="101" t="s">
        <v>64</v>
      </c>
      <c r="C3238" s="30" t="s">
        <v>217</v>
      </c>
      <c r="D3238" s="101">
        <v>365</v>
      </c>
      <c r="E3238" s="25"/>
      <c r="F3238" s="99">
        <v>0.48</v>
      </c>
    </row>
    <row r="3239" spans="2:6" x14ac:dyDescent="0.2">
      <c r="B3239" s="101" t="s">
        <v>64</v>
      </c>
      <c r="C3239" s="30" t="s">
        <v>217</v>
      </c>
      <c r="D3239" s="101" t="s">
        <v>2510</v>
      </c>
      <c r="E3239" s="25"/>
      <c r="F3239" s="99"/>
    </row>
    <row r="3240" spans="2:6" x14ac:dyDescent="0.2">
      <c r="B3240" s="101" t="s">
        <v>64</v>
      </c>
      <c r="C3240" s="30" t="s">
        <v>217</v>
      </c>
      <c r="D3240" s="101">
        <v>370</v>
      </c>
      <c r="E3240" s="183"/>
      <c r="F3240" s="99">
        <f>5.32+4.86</f>
        <v>10.18</v>
      </c>
    </row>
    <row r="3241" spans="2:6" x14ac:dyDescent="0.2">
      <c r="B3241" s="101" t="s">
        <v>64</v>
      </c>
      <c r="C3241" s="30" t="s">
        <v>217</v>
      </c>
      <c r="D3241" s="101">
        <v>370</v>
      </c>
      <c r="E3241" s="183"/>
      <c r="F3241" s="99">
        <v>5.89</v>
      </c>
    </row>
    <row r="3242" spans="2:6" x14ac:dyDescent="0.2">
      <c r="B3242" s="101" t="s">
        <v>64</v>
      </c>
      <c r="C3242" s="30" t="s">
        <v>217</v>
      </c>
      <c r="D3242" s="101">
        <v>370</v>
      </c>
      <c r="E3242" s="183"/>
      <c r="F3242" s="99">
        <v>5.12</v>
      </c>
    </row>
    <row r="3243" spans="2:6" x14ac:dyDescent="0.2">
      <c r="B3243" s="101" t="s">
        <v>64</v>
      </c>
      <c r="C3243" s="30" t="s">
        <v>217</v>
      </c>
      <c r="D3243" s="101">
        <v>370</v>
      </c>
      <c r="E3243" s="183"/>
      <c r="F3243" s="99">
        <v>0.42</v>
      </c>
    </row>
    <row r="3244" spans="2:6" x14ac:dyDescent="0.2">
      <c r="B3244" s="101" t="s">
        <v>64</v>
      </c>
      <c r="C3244" s="30" t="s">
        <v>217</v>
      </c>
      <c r="D3244" s="101">
        <v>380</v>
      </c>
      <c r="E3244" s="183"/>
      <c r="F3244" s="99">
        <v>4.96</v>
      </c>
    </row>
    <row r="3245" spans="2:6" x14ac:dyDescent="0.2">
      <c r="B3245" s="101" t="s">
        <v>64</v>
      </c>
      <c r="C3245" s="30" t="s">
        <v>217</v>
      </c>
      <c r="D3245" s="101">
        <v>380</v>
      </c>
      <c r="E3245" s="183"/>
      <c r="F3245" s="99">
        <v>5.94</v>
      </c>
    </row>
    <row r="3246" spans="2:6" x14ac:dyDescent="0.2">
      <c r="B3246" s="101" t="s">
        <v>64</v>
      </c>
      <c r="C3246" s="30" t="s">
        <v>217</v>
      </c>
      <c r="D3246" s="101">
        <v>380</v>
      </c>
      <c r="E3246" s="183"/>
      <c r="F3246" s="99">
        <v>5.92</v>
      </c>
    </row>
    <row r="3247" spans="2:6" x14ac:dyDescent="0.2">
      <c r="B3247" s="101" t="s">
        <v>64</v>
      </c>
      <c r="C3247" s="30" t="s">
        <v>217</v>
      </c>
      <c r="D3247" s="101">
        <v>380</v>
      </c>
      <c r="E3247" s="183"/>
      <c r="F3247" s="99">
        <v>4.3600000000000003</v>
      </c>
    </row>
    <row r="3248" spans="2:6" x14ac:dyDescent="0.2">
      <c r="B3248" s="101" t="s">
        <v>64</v>
      </c>
      <c r="C3248" s="30" t="s">
        <v>217</v>
      </c>
      <c r="D3248" s="101">
        <v>380</v>
      </c>
      <c r="E3248" s="183"/>
      <c r="F3248" s="99">
        <v>5.5</v>
      </c>
    </row>
    <row r="3249" spans="2:6" x14ac:dyDescent="0.2">
      <c r="B3249" s="101" t="s">
        <v>64</v>
      </c>
      <c r="C3249" s="30" t="s">
        <v>217</v>
      </c>
      <c r="D3249" s="101">
        <v>380</v>
      </c>
      <c r="E3249" s="183"/>
      <c r="F3249" s="99">
        <v>5.7</v>
      </c>
    </row>
    <row r="3250" spans="2:6" x14ac:dyDescent="0.2">
      <c r="B3250" s="101" t="s">
        <v>64</v>
      </c>
      <c r="C3250" s="30" t="s">
        <v>217</v>
      </c>
      <c r="D3250" s="101">
        <v>380</v>
      </c>
      <c r="E3250" s="183"/>
      <c r="F3250" s="99">
        <v>4.3600000000000003</v>
      </c>
    </row>
    <row r="3251" spans="2:6" x14ac:dyDescent="0.2">
      <c r="B3251" s="101" t="s">
        <v>64</v>
      </c>
      <c r="C3251" s="30" t="s">
        <v>217</v>
      </c>
      <c r="D3251" s="101">
        <v>380</v>
      </c>
      <c r="E3251" s="183"/>
      <c r="F3251" s="99">
        <f>0.7+0.11</f>
        <v>0.80999999999999994</v>
      </c>
    </row>
    <row r="3252" spans="2:6" x14ac:dyDescent="0.2">
      <c r="B3252" s="101" t="s">
        <v>64</v>
      </c>
      <c r="C3252" s="30" t="s">
        <v>217</v>
      </c>
      <c r="D3252" s="101">
        <v>380</v>
      </c>
      <c r="E3252" s="183"/>
      <c r="F3252" s="99">
        <f>0.21</f>
        <v>0.21</v>
      </c>
    </row>
    <row r="3253" spans="2:6" x14ac:dyDescent="0.2">
      <c r="B3253" s="101" t="s">
        <v>64</v>
      </c>
      <c r="C3253" s="30" t="s">
        <v>217</v>
      </c>
      <c r="D3253" s="101">
        <v>380</v>
      </c>
      <c r="E3253" s="183"/>
      <c r="F3253" s="99">
        <v>0.03</v>
      </c>
    </row>
    <row r="3254" spans="2:6" x14ac:dyDescent="0.2">
      <c r="B3254" s="101" t="s">
        <v>64</v>
      </c>
      <c r="C3254" s="30" t="s">
        <v>217</v>
      </c>
      <c r="D3254" s="101">
        <v>390</v>
      </c>
      <c r="E3254" s="183"/>
      <c r="F3254" s="99">
        <v>4.0999999999999996</v>
      </c>
    </row>
    <row r="3255" spans="2:6" x14ac:dyDescent="0.2">
      <c r="B3255" s="101" t="s">
        <v>64</v>
      </c>
      <c r="C3255" s="30" t="s">
        <v>217</v>
      </c>
      <c r="D3255" s="101">
        <v>400</v>
      </c>
      <c r="E3255" s="183"/>
      <c r="F3255" s="99">
        <v>6.86</v>
      </c>
    </row>
    <row r="3256" spans="2:6" x14ac:dyDescent="0.2">
      <c r="B3256" s="101" t="s">
        <v>64</v>
      </c>
      <c r="C3256" s="30" t="s">
        <v>217</v>
      </c>
      <c r="D3256" s="101">
        <v>400</v>
      </c>
      <c r="E3256" s="183"/>
      <c r="F3256" s="99">
        <f>6.05+4.02+6.07</f>
        <v>16.14</v>
      </c>
    </row>
    <row r="3257" spans="2:6" x14ac:dyDescent="0.2">
      <c r="B3257" s="101" t="s">
        <v>64</v>
      </c>
      <c r="C3257" s="30" t="s">
        <v>217</v>
      </c>
      <c r="D3257" s="101">
        <v>400</v>
      </c>
      <c r="E3257" s="183"/>
      <c r="F3257" s="99">
        <f>5.9+5.38+5.12</f>
        <v>16.400000000000002</v>
      </c>
    </row>
    <row r="3258" spans="2:6" x14ac:dyDescent="0.2">
      <c r="B3258" s="101" t="s">
        <v>64</v>
      </c>
      <c r="C3258" s="30" t="s">
        <v>217</v>
      </c>
      <c r="D3258" s="101">
        <v>400</v>
      </c>
      <c r="E3258" s="183"/>
      <c r="F3258" s="99">
        <f>6.07+5.66</f>
        <v>11.73</v>
      </c>
    </row>
    <row r="3259" spans="2:6" x14ac:dyDescent="0.2">
      <c r="B3259" s="101" t="s">
        <v>64</v>
      </c>
      <c r="C3259" s="30" t="s">
        <v>217</v>
      </c>
      <c r="D3259" s="101">
        <v>400</v>
      </c>
      <c r="E3259" s="183"/>
      <c r="F3259" s="99">
        <f>3.56+0.21</f>
        <v>3.77</v>
      </c>
    </row>
    <row r="3260" spans="2:6" x14ac:dyDescent="0.2">
      <c r="B3260" s="101" t="s">
        <v>64</v>
      </c>
      <c r="C3260" s="30" t="s">
        <v>217</v>
      </c>
      <c r="D3260" s="101" t="s">
        <v>1817</v>
      </c>
      <c r="E3260" s="183"/>
      <c r="F3260" s="99"/>
    </row>
    <row r="3261" spans="2:6" x14ac:dyDescent="0.2">
      <c r="B3261" s="101" t="s">
        <v>64</v>
      </c>
      <c r="C3261" s="30" t="s">
        <v>217</v>
      </c>
      <c r="D3261" s="101">
        <v>400</v>
      </c>
      <c r="E3261" s="183"/>
      <c r="F3261" s="99">
        <v>7.0000000000000007E-2</v>
      </c>
    </row>
    <row r="3262" spans="2:6" x14ac:dyDescent="0.2">
      <c r="B3262" s="101" t="s">
        <v>64</v>
      </c>
      <c r="C3262" s="30" t="s">
        <v>217</v>
      </c>
      <c r="D3262" s="101">
        <v>410</v>
      </c>
      <c r="E3262" s="183"/>
      <c r="F3262" s="99">
        <v>12.08</v>
      </c>
    </row>
    <row r="3263" spans="2:6" x14ac:dyDescent="0.2">
      <c r="B3263" s="101" t="s">
        <v>64</v>
      </c>
      <c r="C3263" s="30" t="s">
        <v>217</v>
      </c>
      <c r="D3263" s="101" t="s">
        <v>1825</v>
      </c>
      <c r="E3263" s="183"/>
      <c r="F3263" s="99">
        <v>0.09</v>
      </c>
    </row>
    <row r="3264" spans="2:6" x14ac:dyDescent="0.2">
      <c r="B3264" s="101" t="s">
        <v>64</v>
      </c>
      <c r="C3264" s="30" t="s">
        <v>217</v>
      </c>
      <c r="D3264" s="101">
        <v>410</v>
      </c>
      <c r="E3264" s="183"/>
      <c r="F3264" s="99">
        <v>0.08</v>
      </c>
    </row>
    <row r="3265" spans="2:6" x14ac:dyDescent="0.2">
      <c r="B3265" s="101" t="s">
        <v>64</v>
      </c>
      <c r="C3265" s="30" t="s">
        <v>217</v>
      </c>
      <c r="D3265" s="101" t="s">
        <v>2525</v>
      </c>
      <c r="E3265" s="25"/>
      <c r="F3265" s="99">
        <v>5.0599999999999996</v>
      </c>
    </row>
    <row r="3266" spans="2:6" x14ac:dyDescent="0.2">
      <c r="B3266" s="101" t="s">
        <v>64</v>
      </c>
      <c r="C3266" s="30" t="s">
        <v>217</v>
      </c>
      <c r="D3266" s="101">
        <v>420</v>
      </c>
      <c r="E3266" s="25"/>
      <c r="F3266" s="99">
        <f>5.53+5.25</f>
        <v>10.780000000000001</v>
      </c>
    </row>
    <row r="3267" spans="2:6" x14ac:dyDescent="0.2">
      <c r="B3267" s="101" t="s">
        <v>64</v>
      </c>
      <c r="C3267" s="30" t="s">
        <v>217</v>
      </c>
      <c r="D3267" s="101">
        <v>420</v>
      </c>
      <c r="E3267" s="25"/>
      <c r="F3267" s="99">
        <f>5.92+5.13</f>
        <v>11.05</v>
      </c>
    </row>
    <row r="3268" spans="2:6" x14ac:dyDescent="0.2">
      <c r="B3268" s="101" t="s">
        <v>64</v>
      </c>
      <c r="C3268" s="30" t="s">
        <v>217</v>
      </c>
      <c r="D3268" s="101">
        <v>420</v>
      </c>
      <c r="E3268" s="25"/>
      <c r="F3268" s="99">
        <v>0.47</v>
      </c>
    </row>
    <row r="3269" spans="2:6" x14ac:dyDescent="0.2">
      <c r="B3269" s="101" t="s">
        <v>64</v>
      </c>
      <c r="C3269" s="30" t="s">
        <v>217</v>
      </c>
      <c r="D3269" s="101" t="s">
        <v>1844</v>
      </c>
      <c r="E3269" s="183"/>
      <c r="F3269" s="99">
        <v>1.1000000000000001</v>
      </c>
    </row>
    <row r="3270" spans="2:6" x14ac:dyDescent="0.2">
      <c r="B3270" s="101" t="s">
        <v>64</v>
      </c>
      <c r="C3270" s="30" t="s">
        <v>217</v>
      </c>
      <c r="D3270" s="101">
        <v>430</v>
      </c>
      <c r="E3270" s="183"/>
      <c r="F3270" s="99">
        <v>0.05</v>
      </c>
    </row>
    <row r="3271" spans="2:6" x14ac:dyDescent="0.2">
      <c r="B3271" s="101" t="s">
        <v>64</v>
      </c>
      <c r="C3271" s="30" t="s">
        <v>217</v>
      </c>
      <c r="D3271" s="101">
        <v>440</v>
      </c>
      <c r="E3271" s="183"/>
      <c r="F3271" s="99">
        <v>5.08</v>
      </c>
    </row>
    <row r="3272" spans="2:6" x14ac:dyDescent="0.2">
      <c r="B3272" s="101" t="s">
        <v>64</v>
      </c>
      <c r="C3272" s="30" t="s">
        <v>217</v>
      </c>
      <c r="D3272" s="101" t="s">
        <v>2530</v>
      </c>
      <c r="E3272" s="183"/>
      <c r="F3272" s="99">
        <v>5.2</v>
      </c>
    </row>
    <row r="3273" spans="2:6" x14ac:dyDescent="0.2">
      <c r="B3273" s="101" t="s">
        <v>64</v>
      </c>
      <c r="C3273" s="30" t="s">
        <v>217</v>
      </c>
      <c r="D3273" s="101">
        <v>440</v>
      </c>
      <c r="E3273" s="183"/>
      <c r="F3273" s="99">
        <v>2.09</v>
      </c>
    </row>
    <row r="3274" spans="2:6" x14ac:dyDescent="0.2">
      <c r="B3274" s="101" t="s">
        <v>64</v>
      </c>
      <c r="C3274" s="30" t="s">
        <v>217</v>
      </c>
      <c r="D3274" s="101">
        <v>440</v>
      </c>
      <c r="E3274" s="183"/>
      <c r="F3274" s="99">
        <f>0.29+0.08+0.32-0.08</f>
        <v>0.61</v>
      </c>
    </row>
    <row r="3275" spans="2:6" x14ac:dyDescent="0.2">
      <c r="B3275" s="101" t="s">
        <v>64</v>
      </c>
      <c r="C3275" s="30" t="s">
        <v>217</v>
      </c>
      <c r="D3275" s="101">
        <v>450</v>
      </c>
      <c r="E3275" s="183"/>
      <c r="F3275" s="99">
        <v>5.76</v>
      </c>
    </row>
    <row r="3276" spans="2:6" x14ac:dyDescent="0.2">
      <c r="B3276" s="101" t="s">
        <v>64</v>
      </c>
      <c r="C3276" s="30" t="s">
        <v>217</v>
      </c>
      <c r="D3276" s="101">
        <v>450</v>
      </c>
      <c r="E3276" s="183"/>
      <c r="F3276" s="99">
        <f>5.99+5.5</f>
        <v>11.49</v>
      </c>
    </row>
    <row r="3277" spans="2:6" x14ac:dyDescent="0.2">
      <c r="B3277" s="101" t="s">
        <v>64</v>
      </c>
      <c r="C3277" s="30" t="s">
        <v>217</v>
      </c>
      <c r="D3277" s="101">
        <v>450</v>
      </c>
      <c r="E3277" s="183"/>
      <c r="F3277" s="99">
        <v>2.92</v>
      </c>
    </row>
    <row r="3278" spans="2:6" x14ac:dyDescent="0.2">
      <c r="B3278" s="101" t="s">
        <v>64</v>
      </c>
      <c r="C3278" s="30" t="s">
        <v>217</v>
      </c>
      <c r="D3278" s="101">
        <v>450</v>
      </c>
      <c r="E3278" s="183"/>
      <c r="F3278" s="99">
        <v>1.8</v>
      </c>
    </row>
    <row r="3279" spans="2:6" x14ac:dyDescent="0.2">
      <c r="B3279" s="101" t="s">
        <v>64</v>
      </c>
      <c r="C3279" s="30" t="s">
        <v>217</v>
      </c>
      <c r="D3279" s="101">
        <v>450</v>
      </c>
      <c r="E3279" s="183"/>
      <c r="F3279" s="99">
        <f>0.35+0.06</f>
        <v>0.41</v>
      </c>
    </row>
    <row r="3280" spans="2:6" x14ac:dyDescent="0.2">
      <c r="B3280" s="101" t="s">
        <v>64</v>
      </c>
      <c r="C3280" s="30" t="s">
        <v>217</v>
      </c>
      <c r="D3280" s="101">
        <v>450</v>
      </c>
      <c r="E3280" s="183"/>
      <c r="F3280" s="99">
        <v>0.35</v>
      </c>
    </row>
    <row r="3281" spans="2:6" x14ac:dyDescent="0.2">
      <c r="B3281" s="101" t="s">
        <v>64</v>
      </c>
      <c r="C3281" s="30" t="s">
        <v>217</v>
      </c>
      <c r="D3281" s="101" t="s">
        <v>1865</v>
      </c>
      <c r="E3281" s="183"/>
      <c r="F3281" s="99">
        <v>0.28000000000000003</v>
      </c>
    </row>
    <row r="3282" spans="2:6" x14ac:dyDescent="0.2">
      <c r="B3282" s="101" t="s">
        <v>64</v>
      </c>
      <c r="C3282" s="30" t="s">
        <v>217</v>
      </c>
      <c r="D3282" s="101" t="s">
        <v>1872</v>
      </c>
      <c r="E3282" s="25"/>
      <c r="F3282" s="99">
        <v>0.06</v>
      </c>
    </row>
    <row r="3283" spans="2:6" x14ac:dyDescent="0.2">
      <c r="B3283" s="101" t="s">
        <v>64</v>
      </c>
      <c r="C3283" s="30" t="s">
        <v>217</v>
      </c>
      <c r="D3283" s="101">
        <v>460</v>
      </c>
      <c r="E3283" s="25"/>
      <c r="F3283" s="99">
        <v>18</v>
      </c>
    </row>
    <row r="3284" spans="2:6" x14ac:dyDescent="0.2">
      <c r="B3284" s="101" t="s">
        <v>64</v>
      </c>
      <c r="C3284" s="30" t="s">
        <v>217</v>
      </c>
      <c r="D3284" s="101">
        <v>460</v>
      </c>
      <c r="E3284" s="25"/>
      <c r="F3284" s="99">
        <v>5.0599999999999996</v>
      </c>
    </row>
    <row r="3285" spans="2:6" x14ac:dyDescent="0.2">
      <c r="B3285" s="101" t="s">
        <v>64</v>
      </c>
      <c r="C3285" s="30" t="s">
        <v>217</v>
      </c>
      <c r="D3285" s="101">
        <v>460</v>
      </c>
      <c r="E3285" s="25"/>
      <c r="F3285" s="99">
        <v>4.41</v>
      </c>
    </row>
    <row r="3286" spans="2:6" x14ac:dyDescent="0.2">
      <c r="B3286" s="101" t="s">
        <v>64</v>
      </c>
      <c r="C3286" s="30" t="s">
        <v>217</v>
      </c>
      <c r="D3286" s="101">
        <v>460</v>
      </c>
      <c r="E3286" s="25"/>
      <c r="F3286" s="99">
        <f>0.18+0.09</f>
        <v>0.27</v>
      </c>
    </row>
    <row r="3287" spans="2:6" x14ac:dyDescent="0.2">
      <c r="B3287" s="101" t="s">
        <v>64</v>
      </c>
      <c r="C3287" s="30" t="s">
        <v>217</v>
      </c>
      <c r="D3287" s="101">
        <v>470</v>
      </c>
      <c r="E3287" s="183"/>
      <c r="F3287" s="99">
        <v>5.97</v>
      </c>
    </row>
    <row r="3288" spans="2:6" x14ac:dyDescent="0.2">
      <c r="B3288" s="101" t="s">
        <v>64</v>
      </c>
      <c r="C3288" s="30" t="s">
        <v>217</v>
      </c>
      <c r="D3288" s="101">
        <v>470</v>
      </c>
      <c r="E3288" s="183"/>
      <c r="F3288" s="99">
        <f>5.93+2.64</f>
        <v>8.57</v>
      </c>
    </row>
    <row r="3289" spans="2:6" x14ac:dyDescent="0.2">
      <c r="B3289" s="101" t="s">
        <v>64</v>
      </c>
      <c r="C3289" s="30" t="s">
        <v>217</v>
      </c>
      <c r="D3289" s="101">
        <v>470</v>
      </c>
      <c r="E3289" s="183"/>
      <c r="F3289" s="99">
        <v>4.76</v>
      </c>
    </row>
    <row r="3290" spans="2:6" x14ac:dyDescent="0.2">
      <c r="B3290" s="101" t="s">
        <v>64</v>
      </c>
      <c r="C3290" s="30" t="s">
        <v>217</v>
      </c>
      <c r="D3290" s="101">
        <v>470</v>
      </c>
      <c r="E3290" s="183"/>
      <c r="F3290" s="99">
        <v>1.96</v>
      </c>
    </row>
    <row r="3291" spans="2:6" x14ac:dyDescent="0.2">
      <c r="B3291" s="101" t="s">
        <v>64</v>
      </c>
      <c r="C3291" s="30" t="s">
        <v>217</v>
      </c>
      <c r="D3291" s="101">
        <v>470</v>
      </c>
      <c r="E3291" s="183"/>
      <c r="F3291" s="99"/>
    </row>
    <row r="3292" spans="2:6" x14ac:dyDescent="0.2">
      <c r="B3292" s="101" t="s">
        <v>64</v>
      </c>
      <c r="C3292" s="30" t="s">
        <v>217</v>
      </c>
      <c r="D3292" s="101" t="s">
        <v>1895</v>
      </c>
      <c r="E3292" s="183"/>
      <c r="F3292" s="99">
        <v>9.5000000000000001E-2</v>
      </c>
    </row>
    <row r="3293" spans="2:6" x14ac:dyDescent="0.2">
      <c r="B3293" s="101" t="s">
        <v>64</v>
      </c>
      <c r="C3293" s="30" t="s">
        <v>217</v>
      </c>
      <c r="D3293" s="101">
        <v>475</v>
      </c>
      <c r="E3293" s="183"/>
      <c r="F3293" s="99">
        <v>0.81</v>
      </c>
    </row>
    <row r="3294" spans="2:6" x14ac:dyDescent="0.2">
      <c r="B3294" s="101" t="s">
        <v>64</v>
      </c>
      <c r="C3294" s="30" t="s">
        <v>217</v>
      </c>
      <c r="D3294" s="101" t="s">
        <v>1899</v>
      </c>
      <c r="E3294" s="183"/>
      <c r="F3294" s="99">
        <v>0.15</v>
      </c>
    </row>
    <row r="3295" spans="2:6" x14ac:dyDescent="0.2">
      <c r="B3295" s="101" t="s">
        <v>64</v>
      </c>
      <c r="C3295" s="30" t="s">
        <v>217</v>
      </c>
      <c r="D3295" s="101">
        <v>480</v>
      </c>
      <c r="E3295" s="183"/>
      <c r="F3295" s="99">
        <v>6.52</v>
      </c>
    </row>
    <row r="3296" spans="2:6" x14ac:dyDescent="0.2">
      <c r="B3296" s="101" t="s">
        <v>64</v>
      </c>
      <c r="C3296" s="30" t="s">
        <v>217</v>
      </c>
      <c r="D3296" s="101">
        <v>480</v>
      </c>
      <c r="E3296" s="183"/>
      <c r="F3296" s="99">
        <f>4.5+4.65</f>
        <v>9.15</v>
      </c>
    </row>
    <row r="3297" spans="2:6" x14ac:dyDescent="0.2">
      <c r="B3297" s="101" t="s">
        <v>64</v>
      </c>
      <c r="C3297" s="30" t="s">
        <v>217</v>
      </c>
      <c r="D3297" s="101" t="s">
        <v>1904</v>
      </c>
      <c r="E3297" s="183"/>
      <c r="F3297" s="99">
        <v>0.23</v>
      </c>
    </row>
    <row r="3298" spans="2:6" x14ac:dyDescent="0.2">
      <c r="B3298" s="101" t="s">
        <v>64</v>
      </c>
      <c r="C3298" s="30" t="s">
        <v>217</v>
      </c>
      <c r="D3298" s="101">
        <v>480</v>
      </c>
      <c r="E3298" s="183"/>
      <c r="F3298" s="99">
        <v>0.09</v>
      </c>
    </row>
    <row r="3299" spans="2:6" x14ac:dyDescent="0.2">
      <c r="B3299" s="101" t="s">
        <v>64</v>
      </c>
      <c r="C3299" s="30" t="s">
        <v>217</v>
      </c>
      <c r="D3299" s="101" t="s">
        <v>1909</v>
      </c>
      <c r="E3299" s="25"/>
      <c r="F3299" s="99">
        <v>3.19</v>
      </c>
    </row>
    <row r="3300" spans="2:6" x14ac:dyDescent="0.2">
      <c r="B3300" s="101" t="s">
        <v>64</v>
      </c>
      <c r="C3300" s="30" t="s">
        <v>217</v>
      </c>
      <c r="D3300" s="101" t="s">
        <v>1909</v>
      </c>
      <c r="E3300" s="183"/>
      <c r="F3300" s="99">
        <v>3.14</v>
      </c>
    </row>
    <row r="3301" spans="2:6" x14ac:dyDescent="0.2">
      <c r="B3301" s="101" t="s">
        <v>64</v>
      </c>
      <c r="C3301" s="30" t="s">
        <v>217</v>
      </c>
      <c r="D3301" s="101" t="s">
        <v>1909</v>
      </c>
      <c r="E3301" s="25"/>
      <c r="F3301" s="99">
        <v>0.98</v>
      </c>
    </row>
    <row r="3302" spans="2:6" x14ac:dyDescent="0.2">
      <c r="B3302" s="101" t="s">
        <v>64</v>
      </c>
      <c r="C3302" s="30" t="s">
        <v>217</v>
      </c>
      <c r="D3302" s="101">
        <v>500</v>
      </c>
      <c r="E3302" s="183"/>
      <c r="F3302" s="99">
        <v>8.58</v>
      </c>
    </row>
    <row r="3303" spans="2:6" x14ac:dyDescent="0.2">
      <c r="B3303" s="101" t="s">
        <v>64</v>
      </c>
      <c r="C3303" s="30" t="s">
        <v>217</v>
      </c>
      <c r="D3303" s="101">
        <v>500</v>
      </c>
      <c r="E3303" s="183"/>
      <c r="F3303" s="99">
        <v>8.2200000000000006</v>
      </c>
    </row>
    <row r="3304" spans="2:6" x14ac:dyDescent="0.2">
      <c r="B3304" s="101" t="s">
        <v>64</v>
      </c>
      <c r="C3304" s="30" t="s">
        <v>217</v>
      </c>
      <c r="D3304" s="101">
        <v>500</v>
      </c>
      <c r="E3304" s="183"/>
      <c r="F3304" s="99">
        <v>6.62</v>
      </c>
    </row>
    <row r="3305" spans="2:6" x14ac:dyDescent="0.2">
      <c r="B3305" s="101" t="s">
        <v>64</v>
      </c>
      <c r="C3305" s="30" t="s">
        <v>217</v>
      </c>
      <c r="D3305" s="101">
        <v>500</v>
      </c>
      <c r="E3305" s="183"/>
      <c r="F3305" s="99">
        <v>1.18</v>
      </c>
    </row>
    <row r="3306" spans="2:6" x14ac:dyDescent="0.2">
      <c r="B3306" s="101" t="s">
        <v>64</v>
      </c>
      <c r="C3306" s="30" t="s">
        <v>217</v>
      </c>
      <c r="D3306" s="101">
        <v>500</v>
      </c>
      <c r="E3306" s="183"/>
      <c r="F3306" s="99">
        <v>0.34</v>
      </c>
    </row>
    <row r="3307" spans="2:6" x14ac:dyDescent="0.2">
      <c r="B3307" s="101" t="s">
        <v>64</v>
      </c>
      <c r="C3307" s="30" t="s">
        <v>217</v>
      </c>
      <c r="D3307" s="101" t="s">
        <v>1916</v>
      </c>
      <c r="E3307" s="183"/>
      <c r="F3307" s="99">
        <v>0.21</v>
      </c>
    </row>
    <row r="3308" spans="2:6" x14ac:dyDescent="0.2">
      <c r="B3308" s="101" t="s">
        <v>64</v>
      </c>
      <c r="C3308" s="30" t="s">
        <v>217</v>
      </c>
      <c r="D3308" s="101" t="s">
        <v>2549</v>
      </c>
      <c r="E3308" s="183"/>
      <c r="F3308" s="99">
        <v>0.69</v>
      </c>
    </row>
    <row r="3309" spans="2:6" x14ac:dyDescent="0.2">
      <c r="B3309" s="101" t="s">
        <v>64</v>
      </c>
      <c r="C3309" s="30" t="s">
        <v>217</v>
      </c>
      <c r="D3309" s="101">
        <v>520</v>
      </c>
      <c r="E3309" s="183"/>
      <c r="F3309" s="99">
        <f>7.13+7.02+5.7</f>
        <v>19.849999999999998</v>
      </c>
    </row>
    <row r="3310" spans="2:6" x14ac:dyDescent="0.2">
      <c r="B3310" s="101" t="s">
        <v>64</v>
      </c>
      <c r="C3310" s="30" t="s">
        <v>217</v>
      </c>
      <c r="D3310" s="101">
        <v>520</v>
      </c>
      <c r="E3310" s="183"/>
      <c r="F3310" s="99">
        <v>4</v>
      </c>
    </row>
    <row r="3311" spans="2:6" x14ac:dyDescent="0.2">
      <c r="B3311" s="101" t="s">
        <v>64</v>
      </c>
      <c r="C3311" s="30" t="s">
        <v>217</v>
      </c>
      <c r="D3311" s="101" t="s">
        <v>2552</v>
      </c>
      <c r="E3311" s="183"/>
      <c r="F3311" s="99">
        <v>0.3</v>
      </c>
    </row>
    <row r="3312" spans="2:6" x14ac:dyDescent="0.2">
      <c r="B3312" s="101" t="s">
        <v>64</v>
      </c>
      <c r="C3312" s="30" t="s">
        <v>217</v>
      </c>
      <c r="D3312" s="101">
        <v>520</v>
      </c>
      <c r="E3312" s="183"/>
      <c r="F3312" s="99">
        <f>0.15</f>
        <v>0.15</v>
      </c>
    </row>
    <row r="3313" spans="2:6" x14ac:dyDescent="0.2">
      <c r="B3313" s="101" t="s">
        <v>64</v>
      </c>
      <c r="C3313" s="30" t="s">
        <v>217</v>
      </c>
      <c r="D3313" s="101">
        <v>530</v>
      </c>
      <c r="E3313" s="183"/>
      <c r="F3313" s="99">
        <v>11</v>
      </c>
    </row>
    <row r="3314" spans="2:6" x14ac:dyDescent="0.2">
      <c r="B3314" s="101" t="s">
        <v>64</v>
      </c>
      <c r="C3314" s="30" t="s">
        <v>217</v>
      </c>
      <c r="D3314" s="101">
        <v>530</v>
      </c>
      <c r="E3314" s="183"/>
      <c r="F3314" s="99">
        <f>8.67+6.43</f>
        <v>15.1</v>
      </c>
    </row>
    <row r="3315" spans="2:6" x14ac:dyDescent="0.2">
      <c r="B3315" s="101" t="s">
        <v>64</v>
      </c>
      <c r="C3315" s="30" t="s">
        <v>217</v>
      </c>
      <c r="D3315" s="101">
        <v>530</v>
      </c>
      <c r="E3315" s="183"/>
      <c r="F3315" s="99">
        <v>7.75</v>
      </c>
    </row>
    <row r="3316" spans="2:6" x14ac:dyDescent="0.2">
      <c r="B3316" s="101" t="s">
        <v>64</v>
      </c>
      <c r="C3316" s="30" t="s">
        <v>217</v>
      </c>
      <c r="D3316" s="101">
        <v>530</v>
      </c>
      <c r="E3316" s="183"/>
      <c r="F3316" s="99">
        <v>8.1</v>
      </c>
    </row>
    <row r="3317" spans="2:6" x14ac:dyDescent="0.2">
      <c r="B3317" s="101" t="s">
        <v>64</v>
      </c>
      <c r="C3317" s="30" t="s">
        <v>217</v>
      </c>
      <c r="D3317" s="101">
        <v>530</v>
      </c>
      <c r="E3317" s="183"/>
      <c r="F3317" s="99">
        <v>6.4</v>
      </c>
    </row>
    <row r="3318" spans="2:6" x14ac:dyDescent="0.2">
      <c r="B3318" s="101" t="s">
        <v>64</v>
      </c>
      <c r="C3318" s="30" t="s">
        <v>217</v>
      </c>
      <c r="D3318" s="101">
        <v>530</v>
      </c>
      <c r="E3318" s="183"/>
      <c r="F3318" s="99">
        <v>0.08</v>
      </c>
    </row>
    <row r="3319" spans="2:6" x14ac:dyDescent="0.2">
      <c r="B3319" s="101" t="s">
        <v>64</v>
      </c>
      <c r="C3319" s="30" t="s">
        <v>217</v>
      </c>
      <c r="D3319" s="101">
        <v>540</v>
      </c>
      <c r="E3319" s="183"/>
      <c r="F3319" s="99">
        <v>6.8</v>
      </c>
    </row>
    <row r="3320" spans="2:6" x14ac:dyDescent="0.2">
      <c r="B3320" s="101" t="s">
        <v>64</v>
      </c>
      <c r="C3320" s="30" t="s">
        <v>217</v>
      </c>
      <c r="D3320" s="101">
        <v>540</v>
      </c>
      <c r="E3320" s="183"/>
      <c r="F3320" s="99">
        <v>0.45</v>
      </c>
    </row>
    <row r="3321" spans="2:6" x14ac:dyDescent="0.2">
      <c r="B3321" s="101" t="s">
        <v>64</v>
      </c>
      <c r="C3321" s="30" t="s">
        <v>217</v>
      </c>
      <c r="D3321" s="101">
        <v>550</v>
      </c>
      <c r="E3321" s="183"/>
      <c r="F3321" s="99">
        <v>13</v>
      </c>
    </row>
    <row r="3322" spans="2:6" x14ac:dyDescent="0.2">
      <c r="B3322" s="101" t="s">
        <v>64</v>
      </c>
      <c r="C3322" s="30" t="s">
        <v>217</v>
      </c>
      <c r="D3322" s="101">
        <v>550</v>
      </c>
      <c r="E3322" s="183"/>
      <c r="F3322" s="99">
        <v>7.17</v>
      </c>
    </row>
    <row r="3323" spans="2:6" x14ac:dyDescent="0.2">
      <c r="B3323" s="101" t="s">
        <v>64</v>
      </c>
      <c r="C3323" s="30" t="s">
        <v>217</v>
      </c>
      <c r="D3323" s="101">
        <v>550</v>
      </c>
      <c r="E3323" s="183"/>
      <c r="F3323" s="99">
        <v>3.3</v>
      </c>
    </row>
    <row r="3324" spans="2:6" x14ac:dyDescent="0.2">
      <c r="B3324" s="101" t="s">
        <v>64</v>
      </c>
      <c r="C3324" s="30" t="s">
        <v>217</v>
      </c>
      <c r="D3324" s="101">
        <v>550</v>
      </c>
      <c r="E3324" s="183"/>
      <c r="F3324" s="99">
        <f>0.6+0.29</f>
        <v>0.8899999999999999</v>
      </c>
    </row>
    <row r="3325" spans="2:6" x14ac:dyDescent="0.2">
      <c r="B3325" s="101" t="s">
        <v>64</v>
      </c>
      <c r="C3325" s="30" t="s">
        <v>217</v>
      </c>
      <c r="D3325" s="101">
        <v>560</v>
      </c>
      <c r="E3325" s="183"/>
      <c r="F3325" s="99">
        <v>8.8800000000000008</v>
      </c>
    </row>
    <row r="3326" spans="2:6" x14ac:dyDescent="0.2">
      <c r="B3326" s="101" t="s">
        <v>64</v>
      </c>
      <c r="C3326" s="30" t="s">
        <v>217</v>
      </c>
      <c r="D3326" s="101">
        <v>560</v>
      </c>
      <c r="E3326" s="183"/>
      <c r="F3326" s="99">
        <v>8.74</v>
      </c>
    </row>
    <row r="3327" spans="2:6" x14ac:dyDescent="0.2">
      <c r="B3327" s="101" t="s">
        <v>64</v>
      </c>
      <c r="C3327" s="30" t="s">
        <v>217</v>
      </c>
      <c r="D3327" s="101" t="s">
        <v>1961</v>
      </c>
      <c r="E3327" s="183"/>
      <c r="F3327" s="99">
        <v>8.7899999999999991</v>
      </c>
    </row>
    <row r="3328" spans="2:6" x14ac:dyDescent="0.2">
      <c r="B3328" s="101" t="s">
        <v>64</v>
      </c>
      <c r="C3328" s="30" t="s">
        <v>217</v>
      </c>
      <c r="D3328" s="101">
        <v>560</v>
      </c>
      <c r="E3328" s="183"/>
      <c r="F3328" s="99">
        <v>1.2</v>
      </c>
    </row>
    <row r="3329" spans="2:6" x14ac:dyDescent="0.2">
      <c r="B3329" s="101" t="s">
        <v>64</v>
      </c>
      <c r="C3329" s="30" t="s">
        <v>217</v>
      </c>
      <c r="D3329" s="101" t="s">
        <v>1966</v>
      </c>
      <c r="E3329" s="25"/>
      <c r="F3329" s="99">
        <v>0.15</v>
      </c>
    </row>
    <row r="3330" spans="2:6" x14ac:dyDescent="0.2">
      <c r="B3330" s="101" t="s">
        <v>64</v>
      </c>
      <c r="C3330" s="30" t="s">
        <v>217</v>
      </c>
      <c r="D3330" s="101">
        <v>570</v>
      </c>
      <c r="E3330" s="25"/>
      <c r="F3330" s="99">
        <f>0.09</f>
        <v>0.09</v>
      </c>
    </row>
    <row r="3331" spans="2:6" x14ac:dyDescent="0.2">
      <c r="B3331" s="101" t="s">
        <v>64</v>
      </c>
      <c r="C3331" s="30" t="s">
        <v>217</v>
      </c>
      <c r="D3331" s="101" t="s">
        <v>2562</v>
      </c>
      <c r="E3331" s="25"/>
      <c r="F3331" s="99">
        <v>0.24</v>
      </c>
    </row>
    <row r="3332" spans="2:6" x14ac:dyDescent="0.2">
      <c r="B3332" s="101" t="s">
        <v>64</v>
      </c>
      <c r="C3332" s="30" t="s">
        <v>217</v>
      </c>
      <c r="D3332" s="101">
        <v>580</v>
      </c>
      <c r="E3332" s="25"/>
      <c r="F3332" s="99">
        <v>14.12</v>
      </c>
    </row>
    <row r="3333" spans="2:6" x14ac:dyDescent="0.2">
      <c r="B3333" s="101" t="s">
        <v>64</v>
      </c>
      <c r="C3333" s="30" t="s">
        <v>217</v>
      </c>
      <c r="D3333" s="101">
        <v>580</v>
      </c>
      <c r="E3333" s="25"/>
      <c r="F3333" s="99">
        <v>6.96</v>
      </c>
    </row>
    <row r="3334" spans="2:6" x14ac:dyDescent="0.2">
      <c r="B3334" s="101" t="s">
        <v>64</v>
      </c>
      <c r="C3334" s="30" t="s">
        <v>217</v>
      </c>
      <c r="D3334" s="101">
        <v>580</v>
      </c>
      <c r="E3334" s="25"/>
      <c r="F3334" s="99">
        <v>4.9800000000000004</v>
      </c>
    </row>
    <row r="3335" spans="2:6" x14ac:dyDescent="0.2">
      <c r="B3335" s="101" t="s">
        <v>64</v>
      </c>
      <c r="C3335" s="30" t="s">
        <v>217</v>
      </c>
      <c r="D3335" s="101">
        <v>580</v>
      </c>
      <c r="E3335" s="25"/>
      <c r="F3335" s="99">
        <f>2.56+0.2</f>
        <v>2.7600000000000002</v>
      </c>
    </row>
    <row r="3336" spans="2:6" x14ac:dyDescent="0.2">
      <c r="B3336" s="101" t="s">
        <v>64</v>
      </c>
      <c r="C3336" s="30" t="s">
        <v>217</v>
      </c>
      <c r="D3336" s="101">
        <v>580</v>
      </c>
      <c r="E3336" s="25"/>
      <c r="F3336" s="99">
        <v>0.45</v>
      </c>
    </row>
    <row r="3337" spans="2:6" x14ac:dyDescent="0.2">
      <c r="B3337" s="101" t="s">
        <v>64</v>
      </c>
      <c r="C3337" s="30" t="s">
        <v>217</v>
      </c>
      <c r="D3337" s="101" t="s">
        <v>1977</v>
      </c>
      <c r="E3337" s="183"/>
      <c r="F3337" s="99"/>
    </row>
    <row r="3338" spans="2:6" x14ac:dyDescent="0.2">
      <c r="B3338" s="101" t="s">
        <v>64</v>
      </c>
      <c r="C3338" s="30" t="s">
        <v>217</v>
      </c>
      <c r="D3338" s="101">
        <v>600</v>
      </c>
      <c r="E3338" s="183"/>
      <c r="F3338" s="99">
        <v>8.42</v>
      </c>
    </row>
    <row r="3339" spans="2:6" x14ac:dyDescent="0.2">
      <c r="B3339" s="101" t="s">
        <v>64</v>
      </c>
      <c r="C3339" s="30" t="s">
        <v>217</v>
      </c>
      <c r="D3339" s="101">
        <v>600</v>
      </c>
      <c r="E3339" s="183"/>
      <c r="F3339" s="99">
        <f>8.41+8.3</f>
        <v>16.71</v>
      </c>
    </row>
    <row r="3340" spans="2:6" x14ac:dyDescent="0.2">
      <c r="B3340" s="101" t="s">
        <v>64</v>
      </c>
      <c r="C3340" s="30" t="s">
        <v>217</v>
      </c>
      <c r="D3340" s="101">
        <v>600</v>
      </c>
      <c r="E3340" s="183"/>
      <c r="F3340" s="99">
        <v>7.74</v>
      </c>
    </row>
    <row r="3341" spans="2:6" x14ac:dyDescent="0.2">
      <c r="B3341" s="101" t="s">
        <v>64</v>
      </c>
      <c r="C3341" s="30" t="s">
        <v>217</v>
      </c>
      <c r="D3341" s="101" t="s">
        <v>1977</v>
      </c>
      <c r="E3341" s="183"/>
      <c r="F3341" s="99"/>
    </row>
    <row r="3342" spans="2:6" x14ac:dyDescent="0.2">
      <c r="B3342" s="101" t="s">
        <v>64</v>
      </c>
      <c r="C3342" s="30" t="s">
        <v>217</v>
      </c>
      <c r="D3342" s="101">
        <v>610</v>
      </c>
      <c r="E3342" s="183"/>
      <c r="F3342" s="99">
        <v>0.36</v>
      </c>
    </row>
    <row r="3343" spans="2:6" x14ac:dyDescent="0.2">
      <c r="B3343" s="101" t="s">
        <v>64</v>
      </c>
      <c r="C3343" s="30" t="s">
        <v>217</v>
      </c>
      <c r="D3343" s="101">
        <v>620</v>
      </c>
      <c r="E3343" s="183"/>
      <c r="F3343" s="99">
        <v>14</v>
      </c>
    </row>
    <row r="3344" spans="2:6" x14ac:dyDescent="0.2">
      <c r="B3344" s="101" t="s">
        <v>64</v>
      </c>
      <c r="C3344" s="30" t="s">
        <v>217</v>
      </c>
      <c r="D3344" s="101">
        <v>620</v>
      </c>
      <c r="E3344" s="183"/>
      <c r="F3344" s="99">
        <v>5.16</v>
      </c>
    </row>
    <row r="3345" spans="2:6" x14ac:dyDescent="0.2">
      <c r="B3345" s="101" t="s">
        <v>64</v>
      </c>
      <c r="C3345" s="30" t="s">
        <v>217</v>
      </c>
      <c r="D3345" s="101" t="s">
        <v>2005</v>
      </c>
      <c r="E3345" s="183"/>
      <c r="F3345" s="99">
        <v>0.95</v>
      </c>
    </row>
    <row r="3346" spans="2:6" x14ac:dyDescent="0.2">
      <c r="B3346" s="101" t="s">
        <v>64</v>
      </c>
      <c r="C3346" s="30" t="s">
        <v>217</v>
      </c>
      <c r="D3346" s="101">
        <v>620</v>
      </c>
      <c r="E3346" s="183"/>
      <c r="F3346" s="99">
        <v>0.39</v>
      </c>
    </row>
    <row r="3347" spans="2:6" x14ac:dyDescent="0.2">
      <c r="B3347" s="101" t="s">
        <v>64</v>
      </c>
      <c r="C3347" s="30" t="s">
        <v>217</v>
      </c>
      <c r="D3347" s="101">
        <v>630</v>
      </c>
      <c r="E3347" s="183"/>
      <c r="F3347" s="99">
        <v>7.37</v>
      </c>
    </row>
    <row r="3348" spans="2:6" x14ac:dyDescent="0.2">
      <c r="B3348" s="101" t="s">
        <v>64</v>
      </c>
      <c r="C3348" s="30" t="s">
        <v>217</v>
      </c>
      <c r="D3348" s="101">
        <v>630</v>
      </c>
      <c r="E3348" s="183"/>
      <c r="F3348" s="99">
        <v>6.32</v>
      </c>
    </row>
    <row r="3349" spans="2:6" x14ac:dyDescent="0.2">
      <c r="B3349" s="101" t="s">
        <v>64</v>
      </c>
      <c r="C3349" s="30" t="s">
        <v>217</v>
      </c>
      <c r="D3349" s="101">
        <v>630</v>
      </c>
      <c r="E3349" s="183"/>
      <c r="F3349" s="99">
        <f>0.47+0.16</f>
        <v>0.63</v>
      </c>
    </row>
    <row r="3350" spans="2:6" x14ac:dyDescent="0.2">
      <c r="B3350" s="101" t="s">
        <v>64</v>
      </c>
      <c r="C3350" s="30" t="s">
        <v>217</v>
      </c>
      <c r="D3350" s="101">
        <v>630</v>
      </c>
      <c r="E3350" s="183"/>
      <c r="F3350" s="99">
        <v>0.26</v>
      </c>
    </row>
    <row r="3351" spans="2:6" x14ac:dyDescent="0.2">
      <c r="B3351" s="101" t="s">
        <v>64</v>
      </c>
      <c r="C3351" s="30" t="s">
        <v>217</v>
      </c>
      <c r="D3351" s="101" t="s">
        <v>2012</v>
      </c>
      <c r="E3351" s="183"/>
      <c r="F3351" s="99"/>
    </row>
    <row r="3352" spans="2:6" x14ac:dyDescent="0.2">
      <c r="B3352" s="101" t="s">
        <v>64</v>
      </c>
      <c r="C3352" s="30" t="s">
        <v>217</v>
      </c>
      <c r="D3352" s="101">
        <v>640</v>
      </c>
      <c r="E3352" s="183"/>
      <c r="F3352" s="99">
        <v>8.69</v>
      </c>
    </row>
    <row r="3353" spans="2:6" x14ac:dyDescent="0.2">
      <c r="B3353" s="101" t="s">
        <v>64</v>
      </c>
      <c r="C3353" s="30" t="s">
        <v>217</v>
      </c>
      <c r="D3353" s="101">
        <v>650</v>
      </c>
      <c r="E3353" s="183"/>
      <c r="F3353" s="99">
        <v>7.93</v>
      </c>
    </row>
    <row r="3354" spans="2:6" x14ac:dyDescent="0.2">
      <c r="B3354" s="101" t="s">
        <v>64</v>
      </c>
      <c r="C3354" s="30" t="s">
        <v>217</v>
      </c>
      <c r="D3354" s="101">
        <v>650</v>
      </c>
      <c r="E3354" s="183"/>
      <c r="F3354" s="99">
        <v>6.33</v>
      </c>
    </row>
    <row r="3355" spans="2:6" x14ac:dyDescent="0.2">
      <c r="B3355" s="101" t="s">
        <v>64</v>
      </c>
      <c r="C3355" s="30" t="s">
        <v>217</v>
      </c>
      <c r="D3355" s="101">
        <v>650</v>
      </c>
      <c r="E3355" s="183"/>
      <c r="F3355" s="99">
        <v>3.46</v>
      </c>
    </row>
    <row r="3356" spans="2:6" x14ac:dyDescent="0.2">
      <c r="B3356" s="101" t="s">
        <v>64</v>
      </c>
      <c r="C3356" s="30" t="s">
        <v>217</v>
      </c>
      <c r="D3356" s="101" t="s">
        <v>2034</v>
      </c>
      <c r="E3356" s="183"/>
      <c r="F3356" s="99">
        <v>0.62</v>
      </c>
    </row>
    <row r="3357" spans="2:6" x14ac:dyDescent="0.2">
      <c r="B3357" s="101" t="s">
        <v>64</v>
      </c>
      <c r="C3357" s="30" t="s">
        <v>217</v>
      </c>
      <c r="D3357" s="101">
        <v>660</v>
      </c>
      <c r="E3357" s="183"/>
      <c r="F3357" s="99">
        <f>6.44+6.48</f>
        <v>12.920000000000002</v>
      </c>
    </row>
    <row r="3358" spans="2:6" x14ac:dyDescent="0.2">
      <c r="B3358" s="101" t="s">
        <v>64</v>
      </c>
      <c r="C3358" s="30" t="s">
        <v>217</v>
      </c>
      <c r="D3358" s="101">
        <v>660</v>
      </c>
      <c r="E3358" s="183"/>
      <c r="F3358" s="99">
        <v>4.9800000000000004</v>
      </c>
    </row>
    <row r="3359" spans="2:6" x14ac:dyDescent="0.2">
      <c r="B3359" s="101" t="s">
        <v>64</v>
      </c>
      <c r="C3359" s="30" t="s">
        <v>217</v>
      </c>
      <c r="D3359" s="101">
        <v>660</v>
      </c>
      <c r="E3359" s="183"/>
      <c r="F3359" s="99">
        <v>0.53</v>
      </c>
    </row>
    <row r="3360" spans="2:6" x14ac:dyDescent="0.2">
      <c r="B3360" s="101" t="s">
        <v>64</v>
      </c>
      <c r="C3360" s="30" t="s">
        <v>217</v>
      </c>
      <c r="D3360" s="101">
        <v>660</v>
      </c>
      <c r="E3360" s="183"/>
      <c r="F3360" s="99">
        <v>0.41</v>
      </c>
    </row>
    <row r="3361" spans="2:6" x14ac:dyDescent="0.2">
      <c r="B3361" s="101" t="s">
        <v>64</v>
      </c>
      <c r="C3361" s="30" t="s">
        <v>217</v>
      </c>
      <c r="D3361" s="101" t="s">
        <v>2040</v>
      </c>
      <c r="E3361" s="183"/>
      <c r="F3361" s="99">
        <v>0.62</v>
      </c>
    </row>
    <row r="3362" spans="2:6" x14ac:dyDescent="0.2">
      <c r="B3362" s="101" t="s">
        <v>64</v>
      </c>
      <c r="C3362" s="30" t="s">
        <v>217</v>
      </c>
      <c r="D3362" s="101">
        <v>670</v>
      </c>
      <c r="E3362" s="183"/>
      <c r="F3362" s="99">
        <v>0.52</v>
      </c>
    </row>
    <row r="3363" spans="2:6" x14ac:dyDescent="0.2">
      <c r="B3363" s="101" t="s">
        <v>64</v>
      </c>
      <c r="C3363" s="30" t="s">
        <v>217</v>
      </c>
      <c r="D3363" s="101">
        <v>680</v>
      </c>
      <c r="E3363" s="183"/>
      <c r="F3363" s="99">
        <v>9.24</v>
      </c>
    </row>
    <row r="3364" spans="2:6" x14ac:dyDescent="0.2">
      <c r="B3364" s="101" t="s">
        <v>64</v>
      </c>
      <c r="C3364" s="30" t="s">
        <v>217</v>
      </c>
      <c r="D3364" s="101">
        <v>680</v>
      </c>
      <c r="E3364" s="183"/>
      <c r="F3364" s="99">
        <v>5.63</v>
      </c>
    </row>
    <row r="3365" spans="2:6" x14ac:dyDescent="0.2">
      <c r="B3365" s="101" t="s">
        <v>64</v>
      </c>
      <c r="C3365" s="30" t="s">
        <v>217</v>
      </c>
      <c r="D3365" s="101">
        <v>680</v>
      </c>
      <c r="E3365" s="183"/>
      <c r="F3365" s="99">
        <v>0.42</v>
      </c>
    </row>
    <row r="3366" spans="2:6" x14ac:dyDescent="0.2">
      <c r="B3366" s="101" t="s">
        <v>64</v>
      </c>
      <c r="C3366" s="30" t="s">
        <v>217</v>
      </c>
      <c r="D3366" s="101">
        <v>680</v>
      </c>
      <c r="E3366" s="183"/>
      <c r="F3366" s="99">
        <v>0.28999999999999998</v>
      </c>
    </row>
    <row r="3367" spans="2:6" x14ac:dyDescent="0.2">
      <c r="B3367" s="101" t="s">
        <v>64</v>
      </c>
      <c r="C3367" s="30" t="s">
        <v>217</v>
      </c>
      <c r="D3367" s="101" t="s">
        <v>2060</v>
      </c>
      <c r="E3367" s="183"/>
      <c r="F3367" s="99">
        <v>9.94</v>
      </c>
    </row>
    <row r="3368" spans="2:6" x14ac:dyDescent="0.2">
      <c r="B3368" s="101" t="s">
        <v>64</v>
      </c>
      <c r="C3368" s="30" t="s">
        <v>217</v>
      </c>
      <c r="D3368" s="101">
        <v>690</v>
      </c>
      <c r="E3368" s="183"/>
      <c r="F3368" s="99">
        <v>6.96</v>
      </c>
    </row>
    <row r="3369" spans="2:6" x14ac:dyDescent="0.2">
      <c r="B3369" s="101" t="s">
        <v>64</v>
      </c>
      <c r="C3369" s="30" t="s">
        <v>217</v>
      </c>
      <c r="D3369" s="101">
        <v>700</v>
      </c>
      <c r="E3369" s="183"/>
      <c r="F3369" s="99">
        <v>17</v>
      </c>
    </row>
    <row r="3370" spans="2:6" x14ac:dyDescent="0.2">
      <c r="B3370" s="101" t="s">
        <v>64</v>
      </c>
      <c r="C3370" s="30" t="s">
        <v>217</v>
      </c>
      <c r="D3370" s="101">
        <v>700</v>
      </c>
      <c r="E3370" s="183"/>
      <c r="F3370" s="99">
        <v>8.4700000000000006</v>
      </c>
    </row>
    <row r="3371" spans="2:6" x14ac:dyDescent="0.2">
      <c r="B3371" s="101" t="s">
        <v>64</v>
      </c>
      <c r="C3371" s="30" t="s">
        <v>217</v>
      </c>
      <c r="D3371" s="101">
        <v>700</v>
      </c>
      <c r="E3371" s="183"/>
      <c r="F3371" s="99">
        <v>7.03</v>
      </c>
    </row>
    <row r="3372" spans="2:6" x14ac:dyDescent="0.2">
      <c r="B3372" s="101" t="s">
        <v>64</v>
      </c>
      <c r="C3372" s="30" t="s">
        <v>217</v>
      </c>
      <c r="D3372" s="101">
        <v>700</v>
      </c>
      <c r="E3372" s="183"/>
      <c r="F3372" s="99">
        <v>0.81</v>
      </c>
    </row>
    <row r="3373" spans="2:6" x14ac:dyDescent="0.2">
      <c r="B3373" s="101" t="s">
        <v>64</v>
      </c>
      <c r="C3373" s="30" t="s">
        <v>217</v>
      </c>
      <c r="D3373" s="101">
        <v>700</v>
      </c>
      <c r="E3373" s="183"/>
      <c r="F3373" s="99">
        <v>0.27</v>
      </c>
    </row>
    <row r="3374" spans="2:6" x14ac:dyDescent="0.2">
      <c r="B3374" s="101" t="s">
        <v>64</v>
      </c>
      <c r="C3374" s="30" t="s">
        <v>217</v>
      </c>
      <c r="D3374" s="101">
        <v>720</v>
      </c>
      <c r="E3374" s="183"/>
      <c r="F3374" s="99">
        <f>7.53+5.8</f>
        <v>13.33</v>
      </c>
    </row>
    <row r="3375" spans="2:6" x14ac:dyDescent="0.2">
      <c r="B3375" s="101" t="s">
        <v>64</v>
      </c>
      <c r="C3375" s="30" t="s">
        <v>217</v>
      </c>
      <c r="D3375" s="101">
        <v>730</v>
      </c>
      <c r="E3375" s="183"/>
      <c r="F3375" s="99">
        <v>1.68</v>
      </c>
    </row>
    <row r="3376" spans="2:6" x14ac:dyDescent="0.2">
      <c r="B3376" s="101" t="s">
        <v>64</v>
      </c>
      <c r="C3376" s="30" t="s">
        <v>217</v>
      </c>
      <c r="D3376" s="101">
        <v>730</v>
      </c>
      <c r="E3376" s="183"/>
      <c r="F3376" s="99">
        <v>0.36</v>
      </c>
    </row>
    <row r="3377" spans="2:6" x14ac:dyDescent="0.2">
      <c r="B3377" s="101" t="s">
        <v>64</v>
      </c>
      <c r="C3377" s="30" t="s">
        <v>217</v>
      </c>
      <c r="D3377" s="101">
        <v>740</v>
      </c>
      <c r="E3377" s="25"/>
      <c r="F3377" s="99">
        <v>8.39</v>
      </c>
    </row>
    <row r="3378" spans="2:6" x14ac:dyDescent="0.2">
      <c r="B3378" s="101" t="s">
        <v>64</v>
      </c>
      <c r="C3378" s="30" t="s">
        <v>217</v>
      </c>
      <c r="D3378" s="101">
        <v>740</v>
      </c>
      <c r="E3378" s="25"/>
      <c r="F3378" s="99">
        <v>8.16</v>
      </c>
    </row>
    <row r="3379" spans="2:6" x14ac:dyDescent="0.2">
      <c r="B3379" s="101" t="s">
        <v>64</v>
      </c>
      <c r="C3379" s="30" t="s">
        <v>217</v>
      </c>
      <c r="D3379" s="101" t="s">
        <v>2090</v>
      </c>
      <c r="E3379" s="25"/>
      <c r="F3379" s="99">
        <v>1.27</v>
      </c>
    </row>
    <row r="3380" spans="2:6" x14ac:dyDescent="0.2">
      <c r="B3380" s="101" t="s">
        <v>64</v>
      </c>
      <c r="C3380" s="30" t="s">
        <v>217</v>
      </c>
      <c r="D3380" s="101">
        <v>750</v>
      </c>
      <c r="E3380" s="25"/>
      <c r="F3380" s="99">
        <v>6.81</v>
      </c>
    </row>
    <row r="3381" spans="2:6" x14ac:dyDescent="0.2">
      <c r="B3381" s="101" t="s">
        <v>64</v>
      </c>
      <c r="C3381" s="30" t="s">
        <v>217</v>
      </c>
      <c r="D3381" s="101">
        <v>750</v>
      </c>
      <c r="E3381" s="25"/>
      <c r="F3381" s="99">
        <v>8.36</v>
      </c>
    </row>
    <row r="3382" spans="2:6" x14ac:dyDescent="0.2">
      <c r="B3382" s="101" t="s">
        <v>64</v>
      </c>
      <c r="C3382" s="30" t="s">
        <v>217</v>
      </c>
      <c r="D3382" s="101" t="s">
        <v>2099</v>
      </c>
      <c r="E3382" s="25"/>
      <c r="F3382" s="99">
        <v>2.4</v>
      </c>
    </row>
    <row r="3383" spans="2:6" x14ac:dyDescent="0.2">
      <c r="B3383" s="101" t="s">
        <v>64</v>
      </c>
      <c r="C3383" s="30" t="s">
        <v>217</v>
      </c>
      <c r="D3383" s="101" t="s">
        <v>2101</v>
      </c>
      <c r="E3383" s="183"/>
      <c r="F3383" s="99">
        <v>0.95</v>
      </c>
    </row>
    <row r="3384" spans="2:6" x14ac:dyDescent="0.2">
      <c r="B3384" s="101" t="s">
        <v>64</v>
      </c>
      <c r="C3384" s="30" t="s">
        <v>217</v>
      </c>
      <c r="D3384" s="101">
        <v>755</v>
      </c>
      <c r="E3384" s="183"/>
      <c r="F3384" s="99">
        <v>2.61</v>
      </c>
    </row>
    <row r="3385" spans="2:6" x14ac:dyDescent="0.2">
      <c r="B3385" s="101" t="s">
        <v>64</v>
      </c>
      <c r="C3385" s="30" t="s">
        <v>217</v>
      </c>
      <c r="D3385" s="101">
        <v>760</v>
      </c>
      <c r="E3385" s="183"/>
      <c r="F3385" s="99">
        <v>7.76</v>
      </c>
    </row>
    <row r="3386" spans="2:6" x14ac:dyDescent="0.2">
      <c r="B3386" s="101" t="s">
        <v>64</v>
      </c>
      <c r="C3386" s="30" t="s">
        <v>217</v>
      </c>
      <c r="D3386" s="101">
        <v>760</v>
      </c>
      <c r="E3386" s="183"/>
      <c r="F3386" s="99">
        <v>7.28</v>
      </c>
    </row>
    <row r="3387" spans="2:6" x14ac:dyDescent="0.2">
      <c r="B3387" s="101" t="s">
        <v>64</v>
      </c>
      <c r="C3387" s="30" t="s">
        <v>217</v>
      </c>
      <c r="D3387" s="101" t="s">
        <v>2117</v>
      </c>
      <c r="E3387" s="25"/>
      <c r="F3387" s="99">
        <v>1.07</v>
      </c>
    </row>
    <row r="3388" spans="2:6" x14ac:dyDescent="0.2">
      <c r="B3388" s="101" t="s">
        <v>64</v>
      </c>
      <c r="C3388" s="30" t="s">
        <v>217</v>
      </c>
      <c r="D3388" s="101">
        <v>780</v>
      </c>
      <c r="E3388" s="183"/>
      <c r="F3388" s="99">
        <v>8.83</v>
      </c>
    </row>
    <row r="3389" spans="2:6" x14ac:dyDescent="0.2">
      <c r="B3389" s="101" t="s">
        <v>64</v>
      </c>
      <c r="C3389" s="30" t="s">
        <v>217</v>
      </c>
      <c r="D3389" s="101">
        <v>780</v>
      </c>
      <c r="E3389" s="183"/>
      <c r="F3389" s="99">
        <v>4.9000000000000004</v>
      </c>
    </row>
    <row r="3390" spans="2:6" x14ac:dyDescent="0.2">
      <c r="B3390" s="101" t="s">
        <v>64</v>
      </c>
      <c r="C3390" s="30" t="s">
        <v>217</v>
      </c>
      <c r="D3390" s="101">
        <v>780</v>
      </c>
      <c r="E3390" s="183"/>
      <c r="F3390" s="99">
        <v>5.44</v>
      </c>
    </row>
    <row r="3391" spans="2:6" x14ac:dyDescent="0.2">
      <c r="B3391" s="101" t="s">
        <v>64</v>
      </c>
      <c r="C3391" s="30" t="s">
        <v>217</v>
      </c>
      <c r="D3391" s="101">
        <v>780</v>
      </c>
      <c r="E3391" s="183"/>
      <c r="F3391" s="99">
        <v>0.64</v>
      </c>
    </row>
    <row r="3392" spans="2:6" x14ac:dyDescent="0.2">
      <c r="B3392" s="101" t="s">
        <v>64</v>
      </c>
      <c r="C3392" s="30" t="s">
        <v>217</v>
      </c>
      <c r="D3392" s="101">
        <v>790</v>
      </c>
      <c r="E3392" s="25"/>
      <c r="F3392" s="99">
        <v>8.5299999999999994</v>
      </c>
    </row>
    <row r="3393" spans="2:6" x14ac:dyDescent="0.2">
      <c r="B3393" s="101" t="s">
        <v>64</v>
      </c>
      <c r="C3393" s="30" t="s">
        <v>217</v>
      </c>
      <c r="D3393" s="101">
        <v>800</v>
      </c>
      <c r="E3393" s="183"/>
      <c r="F3393" s="99">
        <v>8.89</v>
      </c>
    </row>
    <row r="3394" spans="2:6" x14ac:dyDescent="0.2">
      <c r="B3394" s="101" t="s">
        <v>64</v>
      </c>
      <c r="C3394" s="30" t="s">
        <v>217</v>
      </c>
      <c r="D3394" s="101">
        <v>800</v>
      </c>
      <c r="E3394" s="183"/>
      <c r="F3394" s="99">
        <v>8.67</v>
      </c>
    </row>
    <row r="3395" spans="2:6" x14ac:dyDescent="0.2">
      <c r="B3395" s="101" t="s">
        <v>64</v>
      </c>
      <c r="C3395" s="30" t="s">
        <v>217</v>
      </c>
      <c r="D3395" s="101">
        <v>800</v>
      </c>
      <c r="E3395" s="183"/>
      <c r="F3395" s="99">
        <v>7.5</v>
      </c>
    </row>
    <row r="3396" spans="2:6" x14ac:dyDescent="0.2">
      <c r="B3396" s="101" t="s">
        <v>64</v>
      </c>
      <c r="C3396" s="30" t="s">
        <v>217</v>
      </c>
      <c r="D3396" s="101">
        <v>800</v>
      </c>
      <c r="E3396" s="183"/>
      <c r="F3396" s="99">
        <v>1.1499999999999999</v>
      </c>
    </row>
    <row r="3397" spans="2:6" x14ac:dyDescent="0.2">
      <c r="B3397" s="101" t="s">
        <v>64</v>
      </c>
      <c r="C3397" s="30" t="s">
        <v>217</v>
      </c>
      <c r="D3397" s="101">
        <v>810</v>
      </c>
      <c r="E3397" s="183"/>
      <c r="F3397" s="99">
        <v>9.24</v>
      </c>
    </row>
    <row r="3398" spans="2:6" x14ac:dyDescent="0.2">
      <c r="B3398" s="101" t="s">
        <v>64</v>
      </c>
      <c r="C3398" s="30" t="s">
        <v>217</v>
      </c>
      <c r="D3398" s="101" t="s">
        <v>2130</v>
      </c>
      <c r="E3398" s="183"/>
      <c r="F3398" s="99"/>
    </row>
    <row r="3399" spans="2:6" x14ac:dyDescent="0.2">
      <c r="B3399" s="101" t="s">
        <v>64</v>
      </c>
      <c r="C3399" s="30" t="s">
        <v>217</v>
      </c>
      <c r="D3399" s="101">
        <v>820</v>
      </c>
      <c r="E3399" s="183"/>
      <c r="F3399" s="99">
        <v>6.73</v>
      </c>
    </row>
    <row r="3400" spans="2:6" x14ac:dyDescent="0.2">
      <c r="B3400" s="101" t="s">
        <v>64</v>
      </c>
      <c r="C3400" s="30" t="s">
        <v>217</v>
      </c>
      <c r="D3400" s="101">
        <v>820</v>
      </c>
      <c r="E3400" s="183"/>
      <c r="F3400" s="99">
        <v>3.27</v>
      </c>
    </row>
    <row r="3401" spans="2:6" x14ac:dyDescent="0.2">
      <c r="B3401" s="101" t="s">
        <v>64</v>
      </c>
      <c r="C3401" s="30" t="s">
        <v>217</v>
      </c>
      <c r="D3401" s="101">
        <v>820</v>
      </c>
      <c r="E3401" s="183"/>
      <c r="F3401" s="99">
        <v>1.1000000000000001</v>
      </c>
    </row>
    <row r="3402" spans="2:6" x14ac:dyDescent="0.2">
      <c r="B3402" s="101" t="s">
        <v>64</v>
      </c>
      <c r="C3402" s="30" t="s">
        <v>217</v>
      </c>
      <c r="D3402" s="101" t="s">
        <v>2138</v>
      </c>
      <c r="E3402" s="183"/>
      <c r="F3402" s="99">
        <v>1.01</v>
      </c>
    </row>
    <row r="3403" spans="2:6" x14ac:dyDescent="0.2">
      <c r="B3403" s="101" t="s">
        <v>64</v>
      </c>
      <c r="C3403" s="30" t="s">
        <v>217</v>
      </c>
      <c r="D3403" s="101" t="s">
        <v>2139</v>
      </c>
      <c r="E3403" s="183"/>
      <c r="F3403" s="99">
        <v>1.35</v>
      </c>
    </row>
    <row r="3404" spans="2:6" x14ac:dyDescent="0.2">
      <c r="B3404" s="101" t="s">
        <v>64</v>
      </c>
      <c r="C3404" s="30" t="s">
        <v>217</v>
      </c>
      <c r="D3404" s="101" t="s">
        <v>2140</v>
      </c>
      <c r="E3404" s="183"/>
      <c r="F3404" s="99">
        <v>1.35</v>
      </c>
    </row>
    <row r="3405" spans="2:6" x14ac:dyDescent="0.2">
      <c r="B3405" s="101" t="s">
        <v>64</v>
      </c>
      <c r="C3405" s="30" t="s">
        <v>217</v>
      </c>
      <c r="D3405" s="101">
        <v>850</v>
      </c>
      <c r="E3405" s="183"/>
      <c r="F3405" s="99">
        <v>16</v>
      </c>
    </row>
    <row r="3406" spans="2:6" x14ac:dyDescent="0.2">
      <c r="B3406" s="101" t="s">
        <v>64</v>
      </c>
      <c r="C3406" s="30" t="s">
        <v>217</v>
      </c>
      <c r="D3406" s="101" t="s">
        <v>2151</v>
      </c>
      <c r="E3406" s="183"/>
      <c r="F3406" s="99">
        <v>1.1000000000000001</v>
      </c>
    </row>
    <row r="3407" spans="2:6" x14ac:dyDescent="0.2">
      <c r="B3407" s="101" t="s">
        <v>64</v>
      </c>
      <c r="C3407" s="30" t="s">
        <v>217</v>
      </c>
      <c r="D3407" s="101" t="s">
        <v>2155</v>
      </c>
      <c r="E3407" s="183"/>
      <c r="F3407" s="99">
        <v>0.96</v>
      </c>
    </row>
    <row r="3408" spans="2:6" x14ac:dyDescent="0.2">
      <c r="B3408" s="101" t="s">
        <v>64</v>
      </c>
      <c r="C3408" s="30" t="s">
        <v>217</v>
      </c>
      <c r="D3408" s="101">
        <v>870</v>
      </c>
      <c r="E3408" s="183"/>
      <c r="F3408" s="99">
        <v>7.08</v>
      </c>
    </row>
    <row r="3409" spans="2:6" x14ac:dyDescent="0.2">
      <c r="B3409" s="101" t="s">
        <v>64</v>
      </c>
      <c r="C3409" s="30" t="s">
        <v>217</v>
      </c>
      <c r="D3409" s="101">
        <v>880</v>
      </c>
      <c r="E3409" s="183"/>
      <c r="F3409" s="99">
        <v>7.37</v>
      </c>
    </row>
    <row r="3410" spans="2:6" x14ac:dyDescent="0.2">
      <c r="B3410" s="101" t="s">
        <v>64</v>
      </c>
      <c r="C3410" s="30" t="s">
        <v>217</v>
      </c>
      <c r="D3410" s="101">
        <v>880</v>
      </c>
      <c r="E3410" s="183"/>
      <c r="F3410" s="99">
        <v>3.57</v>
      </c>
    </row>
    <row r="3411" spans="2:6" x14ac:dyDescent="0.2">
      <c r="B3411" s="101" t="s">
        <v>64</v>
      </c>
      <c r="C3411" s="30" t="s">
        <v>217</v>
      </c>
      <c r="D3411" s="101" t="s">
        <v>2166</v>
      </c>
      <c r="E3411" s="183"/>
      <c r="F3411" s="99">
        <v>1.43</v>
      </c>
    </row>
    <row r="3412" spans="2:6" x14ac:dyDescent="0.2">
      <c r="B3412" s="101" t="s">
        <v>64</v>
      </c>
      <c r="C3412" s="30" t="s">
        <v>217</v>
      </c>
      <c r="D3412" s="101">
        <v>890</v>
      </c>
      <c r="E3412" s="183"/>
      <c r="F3412" s="99">
        <v>9.8000000000000007</v>
      </c>
    </row>
    <row r="3413" spans="2:6" x14ac:dyDescent="0.2">
      <c r="B3413" s="101" t="s">
        <v>64</v>
      </c>
      <c r="C3413" s="30" t="s">
        <v>217</v>
      </c>
      <c r="D3413" s="101" t="s">
        <v>2170</v>
      </c>
      <c r="E3413" s="183"/>
      <c r="F3413" s="99">
        <v>1.42</v>
      </c>
    </row>
    <row r="3414" spans="2:6" x14ac:dyDescent="0.2">
      <c r="B3414" s="101" t="s">
        <v>64</v>
      </c>
      <c r="C3414" s="30" t="s">
        <v>217</v>
      </c>
      <c r="D3414" s="101" t="s">
        <v>2171</v>
      </c>
      <c r="E3414" s="183"/>
      <c r="F3414" s="99">
        <v>0.77</v>
      </c>
    </row>
    <row r="3415" spans="2:6" x14ac:dyDescent="0.2">
      <c r="B3415" s="101" t="s">
        <v>64</v>
      </c>
      <c r="C3415" s="30" t="s">
        <v>217</v>
      </c>
      <c r="D3415" s="101" t="s">
        <v>2172</v>
      </c>
      <c r="E3415" s="183"/>
      <c r="F3415" s="99">
        <v>0.78</v>
      </c>
    </row>
    <row r="3416" spans="2:6" x14ac:dyDescent="0.2">
      <c r="B3416" s="101" t="s">
        <v>64</v>
      </c>
      <c r="C3416" s="30" t="s">
        <v>217</v>
      </c>
      <c r="D3416" s="101">
        <v>900</v>
      </c>
      <c r="E3416" s="183"/>
      <c r="F3416" s="99">
        <v>8.39</v>
      </c>
    </row>
    <row r="3417" spans="2:6" x14ac:dyDescent="0.2">
      <c r="B3417" s="101" t="s">
        <v>64</v>
      </c>
      <c r="C3417" s="30" t="s">
        <v>217</v>
      </c>
      <c r="D3417" s="101">
        <v>900</v>
      </c>
      <c r="E3417" s="183"/>
      <c r="F3417" s="99">
        <v>6.52</v>
      </c>
    </row>
    <row r="3418" spans="2:6" x14ac:dyDescent="0.2">
      <c r="B3418" s="101" t="s">
        <v>64</v>
      </c>
      <c r="C3418" s="30" t="s">
        <v>217</v>
      </c>
      <c r="D3418" s="101">
        <v>900</v>
      </c>
      <c r="E3418" s="183"/>
      <c r="F3418" s="99">
        <f>3.03+1.02</f>
        <v>4.05</v>
      </c>
    </row>
    <row r="3419" spans="2:6" x14ac:dyDescent="0.2">
      <c r="B3419" s="101" t="s">
        <v>64</v>
      </c>
      <c r="C3419" s="30" t="s">
        <v>217</v>
      </c>
      <c r="D3419" s="101" t="s">
        <v>2183</v>
      </c>
      <c r="E3419" s="183"/>
      <c r="F3419" s="99">
        <v>0.79</v>
      </c>
    </row>
    <row r="3420" spans="2:6" x14ac:dyDescent="0.2">
      <c r="B3420" s="101" t="s">
        <v>64</v>
      </c>
      <c r="C3420" s="30" t="s">
        <v>217</v>
      </c>
      <c r="D3420" s="101" t="s">
        <v>2183</v>
      </c>
      <c r="E3420" s="183"/>
      <c r="F3420" s="99">
        <f>0.8+0.78</f>
        <v>1.58</v>
      </c>
    </row>
    <row r="3421" spans="2:6" x14ac:dyDescent="0.2">
      <c r="B3421" s="101" t="s">
        <v>64</v>
      </c>
      <c r="C3421" s="30" t="s">
        <v>217</v>
      </c>
      <c r="D3421" s="101" t="s">
        <v>2183</v>
      </c>
      <c r="E3421" s="183"/>
      <c r="F3421" s="99">
        <v>0.78</v>
      </c>
    </row>
    <row r="3422" spans="2:6" x14ac:dyDescent="0.2">
      <c r="B3422" s="101" t="s">
        <v>64</v>
      </c>
      <c r="C3422" s="30" t="s">
        <v>217</v>
      </c>
      <c r="D3422" s="101" t="s">
        <v>2184</v>
      </c>
      <c r="E3422" s="183"/>
      <c r="F3422" s="99">
        <f>0.8+0.78</f>
        <v>1.58</v>
      </c>
    </row>
    <row r="3423" spans="2:6" x14ac:dyDescent="0.2">
      <c r="B3423" s="101" t="s">
        <v>64</v>
      </c>
      <c r="C3423" s="30" t="s">
        <v>217</v>
      </c>
      <c r="D3423" s="101" t="s">
        <v>2184</v>
      </c>
      <c r="E3423" s="183"/>
      <c r="F3423" s="99">
        <v>0.79</v>
      </c>
    </row>
    <row r="3424" spans="2:6" x14ac:dyDescent="0.2">
      <c r="B3424" s="101" t="s">
        <v>64</v>
      </c>
      <c r="C3424" s="30" t="s">
        <v>217</v>
      </c>
      <c r="D3424" s="101" t="s">
        <v>2185</v>
      </c>
      <c r="E3424" s="183"/>
      <c r="F3424" s="99">
        <v>0.78</v>
      </c>
    </row>
    <row r="3425" spans="2:6" x14ac:dyDescent="0.2">
      <c r="B3425" s="101" t="s">
        <v>64</v>
      </c>
      <c r="C3425" s="30" t="s">
        <v>217</v>
      </c>
      <c r="D3425" s="101" t="s">
        <v>2185</v>
      </c>
      <c r="E3425" s="183"/>
      <c r="F3425" s="99">
        <f>0.81+0.8+0.76</f>
        <v>2.37</v>
      </c>
    </row>
    <row r="3426" spans="2:6" x14ac:dyDescent="0.2">
      <c r="B3426" s="101" t="s">
        <v>64</v>
      </c>
      <c r="C3426" s="30" t="s">
        <v>217</v>
      </c>
      <c r="D3426" s="101" t="s">
        <v>2185</v>
      </c>
      <c r="E3426" s="183"/>
      <c r="F3426" s="99">
        <v>0.78</v>
      </c>
    </row>
    <row r="3427" spans="2:6" x14ac:dyDescent="0.2">
      <c r="B3427" s="101" t="s">
        <v>64</v>
      </c>
      <c r="C3427" s="30" t="s">
        <v>217</v>
      </c>
      <c r="D3427" s="101" t="s">
        <v>2186</v>
      </c>
      <c r="E3427" s="183"/>
      <c r="F3427" s="99">
        <v>0.81</v>
      </c>
    </row>
    <row r="3428" spans="2:6" x14ac:dyDescent="0.2">
      <c r="B3428" s="101" t="s">
        <v>64</v>
      </c>
      <c r="C3428" s="30" t="s">
        <v>217</v>
      </c>
      <c r="D3428" s="101" t="s">
        <v>2197</v>
      </c>
      <c r="E3428" s="183"/>
      <c r="F3428" s="99"/>
    </row>
    <row r="3429" spans="2:6" x14ac:dyDescent="0.2">
      <c r="B3429" s="101" t="s">
        <v>64</v>
      </c>
      <c r="C3429" s="30" t="s">
        <v>217</v>
      </c>
      <c r="D3429" s="101" t="s">
        <v>2198</v>
      </c>
      <c r="E3429" s="183"/>
      <c r="F3429" s="99">
        <v>0.8</v>
      </c>
    </row>
    <row r="3430" spans="2:6" x14ac:dyDescent="0.2">
      <c r="B3430" s="101" t="s">
        <v>64</v>
      </c>
      <c r="C3430" s="30" t="s">
        <v>217</v>
      </c>
      <c r="D3430" s="101" t="s">
        <v>2199</v>
      </c>
      <c r="E3430" s="183"/>
      <c r="F3430" s="99">
        <v>0.81</v>
      </c>
    </row>
    <row r="3431" spans="2:6" x14ac:dyDescent="0.2">
      <c r="B3431" s="101" t="s">
        <v>64</v>
      </c>
      <c r="C3431" s="30" t="s">
        <v>217</v>
      </c>
      <c r="D3431" s="101">
        <v>920</v>
      </c>
      <c r="E3431" s="183"/>
      <c r="F3431" s="99">
        <v>12.67</v>
      </c>
    </row>
    <row r="3432" spans="2:6" x14ac:dyDescent="0.2">
      <c r="B3432" s="101" t="s">
        <v>64</v>
      </c>
      <c r="C3432" s="30" t="s">
        <v>217</v>
      </c>
      <c r="D3432" s="101" t="s">
        <v>2210</v>
      </c>
      <c r="E3432" s="183"/>
      <c r="F3432" s="99">
        <v>1.63</v>
      </c>
    </row>
    <row r="3433" spans="2:6" x14ac:dyDescent="0.2">
      <c r="B3433" s="101" t="s">
        <v>64</v>
      </c>
      <c r="C3433" s="30" t="s">
        <v>217</v>
      </c>
      <c r="D3433" s="101" t="s">
        <v>2211</v>
      </c>
      <c r="E3433" s="183"/>
      <c r="F3433" s="99">
        <v>0.9</v>
      </c>
    </row>
    <row r="3434" spans="2:6" x14ac:dyDescent="0.2">
      <c r="B3434" s="101" t="s">
        <v>64</v>
      </c>
      <c r="C3434" s="30" t="s">
        <v>217</v>
      </c>
      <c r="D3434" s="101">
        <v>940</v>
      </c>
      <c r="E3434" s="183"/>
      <c r="F3434" s="99">
        <v>1.79</v>
      </c>
    </row>
    <row r="3435" spans="2:6" x14ac:dyDescent="0.2">
      <c r="B3435" s="101" t="s">
        <v>64</v>
      </c>
      <c r="C3435" s="30" t="s">
        <v>217</v>
      </c>
      <c r="D3435" s="101" t="s">
        <v>2232</v>
      </c>
      <c r="E3435" s="183"/>
      <c r="F3435" s="99">
        <v>0.87</v>
      </c>
    </row>
    <row r="3436" spans="2:6" x14ac:dyDescent="0.2">
      <c r="B3436" s="101" t="s">
        <v>64</v>
      </c>
      <c r="C3436" s="30" t="s">
        <v>217</v>
      </c>
      <c r="D3436" s="101">
        <v>960</v>
      </c>
      <c r="E3436" s="183"/>
      <c r="F3436" s="99">
        <v>10.86</v>
      </c>
    </row>
    <row r="3437" spans="2:6" x14ac:dyDescent="0.2">
      <c r="B3437" s="101" t="s">
        <v>64</v>
      </c>
      <c r="C3437" s="30" t="s">
        <v>217</v>
      </c>
      <c r="D3437" s="101" t="s">
        <v>2254</v>
      </c>
      <c r="E3437" s="183"/>
      <c r="F3437" s="99"/>
    </row>
    <row r="3438" spans="2:6" x14ac:dyDescent="0.2">
      <c r="B3438" s="101" t="s">
        <v>64</v>
      </c>
      <c r="C3438" s="30" t="s">
        <v>217</v>
      </c>
      <c r="D3438" s="101" t="s">
        <v>2260</v>
      </c>
      <c r="E3438" s="183"/>
      <c r="F3438" s="99"/>
    </row>
    <row r="3439" spans="2:6" x14ac:dyDescent="0.2">
      <c r="B3439" s="101" t="s">
        <v>64</v>
      </c>
      <c r="C3439" s="30" t="s">
        <v>217</v>
      </c>
      <c r="D3439" s="101">
        <v>990</v>
      </c>
      <c r="E3439" s="183"/>
      <c r="F3439" s="99">
        <v>1.68</v>
      </c>
    </row>
    <row r="3440" spans="2:6" x14ac:dyDescent="0.2">
      <c r="B3440" s="101" t="s">
        <v>64</v>
      </c>
      <c r="C3440" s="30" t="s">
        <v>217</v>
      </c>
      <c r="D3440" s="101">
        <v>1000</v>
      </c>
      <c r="E3440" s="183"/>
      <c r="F3440" s="99">
        <v>11.94</v>
      </c>
    </row>
    <row r="3441" spans="2:6" x14ac:dyDescent="0.2">
      <c r="B3441" s="101" t="s">
        <v>64</v>
      </c>
      <c r="C3441" s="30" t="s">
        <v>217</v>
      </c>
      <c r="D3441" s="101">
        <v>1000</v>
      </c>
      <c r="E3441" s="183"/>
      <c r="F3441" s="99">
        <v>11.44</v>
      </c>
    </row>
    <row r="3442" spans="2:6" x14ac:dyDescent="0.2">
      <c r="B3442" s="101" t="s">
        <v>64</v>
      </c>
      <c r="C3442" s="30" t="s">
        <v>217</v>
      </c>
      <c r="D3442" s="101" t="s">
        <v>2283</v>
      </c>
      <c r="E3442" s="183"/>
      <c r="F3442" s="99">
        <v>1.02</v>
      </c>
    </row>
    <row r="3443" spans="2:6" x14ac:dyDescent="0.2">
      <c r="B3443" s="101" t="s">
        <v>64</v>
      </c>
      <c r="C3443" s="30" t="s">
        <v>217</v>
      </c>
      <c r="D3443" s="101">
        <v>1050</v>
      </c>
      <c r="E3443" s="183"/>
      <c r="F3443" s="99">
        <v>15</v>
      </c>
    </row>
    <row r="3444" spans="2:6" x14ac:dyDescent="0.2">
      <c r="B3444" s="101" t="s">
        <v>64</v>
      </c>
      <c r="C3444" s="30" t="s">
        <v>217</v>
      </c>
      <c r="D3444" s="101">
        <v>1100</v>
      </c>
      <c r="E3444" s="183"/>
      <c r="F3444" s="99">
        <v>6.52</v>
      </c>
    </row>
    <row r="3445" spans="2:6" x14ac:dyDescent="0.2">
      <c r="B3445" s="101" t="s">
        <v>64</v>
      </c>
      <c r="C3445" s="30" t="s">
        <v>217</v>
      </c>
      <c r="D3445" s="101" t="s">
        <v>2320</v>
      </c>
      <c r="E3445" s="183"/>
      <c r="F3445" s="99">
        <v>1.73</v>
      </c>
    </row>
    <row r="3446" spans="2:6" x14ac:dyDescent="0.2">
      <c r="B3446" s="101" t="s">
        <v>64</v>
      </c>
      <c r="C3446" s="30" t="s">
        <v>217</v>
      </c>
      <c r="D3446" s="101" t="s">
        <v>2321</v>
      </c>
      <c r="E3446" s="183"/>
      <c r="F3446" s="99">
        <v>1.65</v>
      </c>
    </row>
    <row r="3447" spans="2:6" x14ac:dyDescent="0.2">
      <c r="B3447" s="101" t="s">
        <v>64</v>
      </c>
      <c r="C3447" s="30" t="s">
        <v>217</v>
      </c>
      <c r="D3447" s="101">
        <v>1150</v>
      </c>
      <c r="E3447" s="183"/>
      <c r="F3447" s="99">
        <v>15</v>
      </c>
    </row>
    <row r="3448" spans="2:6" x14ac:dyDescent="0.2">
      <c r="B3448" s="101" t="s">
        <v>64</v>
      </c>
      <c r="C3448" s="30" t="s">
        <v>217</v>
      </c>
      <c r="D3448" s="101" t="s">
        <v>2326</v>
      </c>
      <c r="E3448" s="183"/>
      <c r="F3448" s="99">
        <v>1.7</v>
      </c>
    </row>
    <row r="3449" spans="2:6" x14ac:dyDescent="0.2">
      <c r="B3449" s="101" t="s">
        <v>64</v>
      </c>
      <c r="C3449" s="30" t="s">
        <v>217</v>
      </c>
      <c r="D3449" s="101" t="s">
        <v>2327</v>
      </c>
      <c r="E3449" s="183"/>
      <c r="F3449" s="99">
        <v>1.72</v>
      </c>
    </row>
    <row r="3450" spans="2:6" x14ac:dyDescent="0.2">
      <c r="B3450" s="101" t="s">
        <v>64</v>
      </c>
      <c r="C3450" s="30" t="s">
        <v>217</v>
      </c>
      <c r="D3450" s="101" t="s">
        <v>2345</v>
      </c>
      <c r="E3450" s="183"/>
      <c r="F3450" s="99">
        <v>2.44</v>
      </c>
    </row>
    <row r="3451" spans="2:6" x14ac:dyDescent="0.2">
      <c r="B3451" s="101" t="s">
        <v>64</v>
      </c>
      <c r="C3451" s="30" t="s">
        <v>217</v>
      </c>
      <c r="D3451" s="101" t="s">
        <v>2353</v>
      </c>
      <c r="E3451" s="183"/>
      <c r="F3451" s="99">
        <v>2.71</v>
      </c>
    </row>
    <row r="3452" spans="2:6" x14ac:dyDescent="0.2">
      <c r="B3452" s="101" t="s">
        <v>64</v>
      </c>
      <c r="C3452" s="30" t="s">
        <v>217</v>
      </c>
      <c r="D3452" s="101" t="s">
        <v>2355</v>
      </c>
      <c r="E3452" s="183"/>
      <c r="F3452" s="99">
        <v>2.62</v>
      </c>
    </row>
    <row r="3453" spans="2:6" x14ac:dyDescent="0.2">
      <c r="B3453" s="101" t="s">
        <v>64</v>
      </c>
      <c r="C3453" s="30" t="s">
        <v>217</v>
      </c>
      <c r="D3453" s="101">
        <v>1250</v>
      </c>
      <c r="E3453" s="183"/>
      <c r="F3453" s="99">
        <v>18</v>
      </c>
    </row>
    <row r="3454" spans="2:6" x14ac:dyDescent="0.2">
      <c r="B3454" s="101" t="s">
        <v>64</v>
      </c>
      <c r="C3454" s="30" t="s">
        <v>217</v>
      </c>
      <c r="D3454" s="101" t="s">
        <v>2369</v>
      </c>
      <c r="E3454" s="183"/>
      <c r="F3454" s="99">
        <v>4.8</v>
      </c>
    </row>
    <row r="3455" spans="2:6" x14ac:dyDescent="0.2">
      <c r="B3455" s="101" t="s">
        <v>64</v>
      </c>
      <c r="C3455" s="30" t="s">
        <v>217</v>
      </c>
      <c r="D3455" s="101" t="s">
        <v>2370</v>
      </c>
      <c r="E3455" s="183"/>
      <c r="F3455" s="99">
        <f>0.8+0.8-0.8</f>
        <v>0.8</v>
      </c>
    </row>
    <row r="3456" spans="2:6" x14ac:dyDescent="0.2">
      <c r="B3456" s="101" t="s">
        <v>64</v>
      </c>
      <c r="C3456" s="30" t="s">
        <v>217</v>
      </c>
      <c r="D3456" s="101" t="s">
        <v>2381</v>
      </c>
      <c r="E3456" s="183"/>
      <c r="F3456" s="99">
        <v>8.6999999999999993</v>
      </c>
    </row>
    <row r="3457" spans="2:6" x14ac:dyDescent="0.2">
      <c r="B3457" s="101" t="s">
        <v>64</v>
      </c>
      <c r="C3457" s="30" t="s">
        <v>407</v>
      </c>
      <c r="D3457" s="101" t="s">
        <v>2329</v>
      </c>
      <c r="E3457" s="183"/>
      <c r="F3457" s="99">
        <v>0.99</v>
      </c>
    </row>
    <row r="3458" spans="2:6" x14ac:dyDescent="0.2">
      <c r="B3458" s="78" t="s">
        <v>64</v>
      </c>
      <c r="C3458" s="174" t="s">
        <v>492</v>
      </c>
      <c r="D3458" s="2" t="s">
        <v>80</v>
      </c>
      <c r="E3458" s="77"/>
      <c r="F3458" s="39">
        <v>0.09</v>
      </c>
    </row>
    <row r="3459" spans="2:6" x14ac:dyDescent="0.2">
      <c r="B3459" s="30" t="s">
        <v>64</v>
      </c>
      <c r="C3459" s="30" t="s">
        <v>492</v>
      </c>
      <c r="D3459" s="30" t="s">
        <v>488</v>
      </c>
      <c r="E3459" s="101"/>
      <c r="F3459" s="99">
        <v>0.23599999999999999</v>
      </c>
    </row>
    <row r="3460" spans="2:6" x14ac:dyDescent="0.2">
      <c r="B3460" s="30" t="s">
        <v>64</v>
      </c>
      <c r="C3460" s="30" t="s">
        <v>492</v>
      </c>
      <c r="D3460" s="30" t="s">
        <v>493</v>
      </c>
      <c r="E3460" s="101"/>
      <c r="F3460" s="99">
        <v>0.33</v>
      </c>
    </row>
    <row r="3461" spans="2:6" x14ac:dyDescent="0.2">
      <c r="B3461" s="30" t="s">
        <v>64</v>
      </c>
      <c r="C3461" s="30" t="s">
        <v>492</v>
      </c>
      <c r="D3461" s="30" t="s">
        <v>494</v>
      </c>
      <c r="E3461" s="101"/>
      <c r="F3461" s="99">
        <f>1.84-0.4-0.318</f>
        <v>1.1219999999999999</v>
      </c>
    </row>
    <row r="3462" spans="2:6" x14ac:dyDescent="0.2">
      <c r="B3462" s="30" t="s">
        <v>64</v>
      </c>
      <c r="C3462" s="30" t="s">
        <v>492</v>
      </c>
      <c r="D3462" s="30" t="s">
        <v>495</v>
      </c>
      <c r="E3462" s="101"/>
      <c r="F3462" s="99">
        <v>0.7</v>
      </c>
    </row>
    <row r="3463" spans="2:6" x14ac:dyDescent="0.2">
      <c r="B3463" s="30" t="s">
        <v>64</v>
      </c>
      <c r="C3463" s="30" t="s">
        <v>492</v>
      </c>
      <c r="D3463" s="30" t="s">
        <v>496</v>
      </c>
      <c r="E3463" s="101"/>
      <c r="F3463" s="99">
        <v>0.93</v>
      </c>
    </row>
    <row r="3464" spans="2:6" x14ac:dyDescent="0.2">
      <c r="B3464" s="101" t="s">
        <v>64</v>
      </c>
      <c r="C3464" s="30" t="s">
        <v>492</v>
      </c>
      <c r="D3464" s="101">
        <v>360</v>
      </c>
      <c r="E3464" s="183"/>
      <c r="F3464" s="99">
        <f>5.28+0.71</f>
        <v>5.99</v>
      </c>
    </row>
    <row r="3465" spans="2:6" x14ac:dyDescent="0.2">
      <c r="B3465" s="101" t="s">
        <v>64</v>
      </c>
      <c r="C3465" s="30" t="s">
        <v>492</v>
      </c>
      <c r="D3465" s="101" t="s">
        <v>1773</v>
      </c>
      <c r="E3465" s="183"/>
      <c r="F3465" s="99">
        <v>5.29</v>
      </c>
    </row>
    <row r="3466" spans="2:6" x14ac:dyDescent="0.2">
      <c r="B3466" s="101" t="s">
        <v>64</v>
      </c>
      <c r="C3466" s="30" t="s">
        <v>492</v>
      </c>
      <c r="D3466" s="101">
        <v>360</v>
      </c>
      <c r="E3466" s="183"/>
      <c r="F3466" s="99">
        <v>0.08</v>
      </c>
    </row>
    <row r="3467" spans="2:6" x14ac:dyDescent="0.2">
      <c r="B3467" s="101" t="s">
        <v>64</v>
      </c>
      <c r="C3467" s="30" t="s">
        <v>492</v>
      </c>
      <c r="D3467" s="101" t="s">
        <v>2505</v>
      </c>
      <c r="E3467" s="183"/>
      <c r="F3467" s="99">
        <v>0.24</v>
      </c>
    </row>
    <row r="3468" spans="2:6" x14ac:dyDescent="0.2">
      <c r="B3468" s="101" t="s">
        <v>64</v>
      </c>
      <c r="C3468" s="30" t="s">
        <v>492</v>
      </c>
      <c r="D3468" s="101" t="s">
        <v>2507</v>
      </c>
      <c r="E3468" s="183"/>
      <c r="F3468" s="99">
        <v>0.13</v>
      </c>
    </row>
    <row r="3469" spans="2:6" x14ac:dyDescent="0.2">
      <c r="B3469" s="101" t="s">
        <v>64</v>
      </c>
      <c r="C3469" s="30" t="s">
        <v>492</v>
      </c>
      <c r="D3469" s="101" t="s">
        <v>2508</v>
      </c>
      <c r="E3469" s="183"/>
      <c r="F3469" s="99">
        <v>0.12</v>
      </c>
    </row>
    <row r="3470" spans="2:6" x14ac:dyDescent="0.2">
      <c r="B3470" s="101" t="s">
        <v>64</v>
      </c>
      <c r="C3470" s="30" t="s">
        <v>492</v>
      </c>
      <c r="D3470" s="101" t="s">
        <v>2509</v>
      </c>
      <c r="E3470" s="183"/>
      <c r="F3470" s="99">
        <v>0.52</v>
      </c>
    </row>
    <row r="3471" spans="2:6" x14ac:dyDescent="0.2">
      <c r="B3471" s="101" t="s">
        <v>64</v>
      </c>
      <c r="C3471" s="30" t="s">
        <v>492</v>
      </c>
      <c r="D3471" s="101">
        <v>370</v>
      </c>
      <c r="E3471" s="25"/>
      <c r="F3471" s="99">
        <v>4.3899999999999997</v>
      </c>
    </row>
    <row r="3472" spans="2:6" x14ac:dyDescent="0.2">
      <c r="B3472" s="101" t="s">
        <v>64</v>
      </c>
      <c r="C3472" s="30" t="s">
        <v>492</v>
      </c>
      <c r="D3472" s="101">
        <v>370</v>
      </c>
      <c r="E3472" s="25"/>
      <c r="F3472" s="99">
        <v>3.38</v>
      </c>
    </row>
    <row r="3473" spans="2:6" x14ac:dyDescent="0.2">
      <c r="B3473" s="101" t="s">
        <v>64</v>
      </c>
      <c r="C3473" s="30" t="s">
        <v>492</v>
      </c>
      <c r="D3473" s="101">
        <v>370</v>
      </c>
      <c r="E3473" s="25"/>
      <c r="F3473" s="99">
        <f>0.07+0.28</f>
        <v>0.35000000000000003</v>
      </c>
    </row>
    <row r="3474" spans="2:6" x14ac:dyDescent="0.2">
      <c r="B3474" s="101" t="s">
        <v>64</v>
      </c>
      <c r="C3474" s="30" t="s">
        <v>492</v>
      </c>
      <c r="D3474" s="101">
        <v>380</v>
      </c>
      <c r="E3474" s="183"/>
      <c r="F3474" s="99">
        <v>5.61</v>
      </c>
    </row>
    <row r="3475" spans="2:6" x14ac:dyDescent="0.2">
      <c r="B3475" s="101" t="s">
        <v>64</v>
      </c>
      <c r="C3475" s="30" t="s">
        <v>492</v>
      </c>
      <c r="D3475" s="101">
        <v>380</v>
      </c>
      <c r="E3475" s="183"/>
      <c r="F3475" s="99">
        <f>4.82+0.95</f>
        <v>5.7700000000000005</v>
      </c>
    </row>
    <row r="3476" spans="2:6" x14ac:dyDescent="0.2">
      <c r="B3476" s="101" t="s">
        <v>64</v>
      </c>
      <c r="C3476" s="30" t="s">
        <v>492</v>
      </c>
      <c r="D3476" s="101">
        <v>400</v>
      </c>
      <c r="E3476" s="183"/>
      <c r="F3476" s="99">
        <v>6.2</v>
      </c>
    </row>
    <row r="3477" spans="2:6" x14ac:dyDescent="0.2">
      <c r="B3477" s="101" t="s">
        <v>64</v>
      </c>
      <c r="C3477" s="30" t="s">
        <v>492</v>
      </c>
      <c r="D3477" s="101">
        <v>400</v>
      </c>
      <c r="E3477" s="183"/>
      <c r="F3477" s="99">
        <v>5.47</v>
      </c>
    </row>
    <row r="3478" spans="2:6" x14ac:dyDescent="0.2">
      <c r="B3478" s="101" t="s">
        <v>64</v>
      </c>
      <c r="C3478" s="30" t="s">
        <v>492</v>
      </c>
      <c r="D3478" s="101">
        <v>400</v>
      </c>
      <c r="E3478" s="183"/>
      <c r="F3478" s="99">
        <v>1.41</v>
      </c>
    </row>
    <row r="3479" spans="2:6" x14ac:dyDescent="0.2">
      <c r="B3479" s="101" t="s">
        <v>64</v>
      </c>
      <c r="C3479" s="30" t="s">
        <v>492</v>
      </c>
      <c r="D3479" s="101" t="s">
        <v>1817</v>
      </c>
      <c r="E3479" s="183"/>
      <c r="F3479" s="99">
        <v>2.2799999999999998</v>
      </c>
    </row>
    <row r="3480" spans="2:6" x14ac:dyDescent="0.2">
      <c r="B3480" s="101" t="s">
        <v>64</v>
      </c>
      <c r="C3480" s="30" t="s">
        <v>492</v>
      </c>
      <c r="D3480" s="101">
        <v>400</v>
      </c>
      <c r="E3480" s="185"/>
      <c r="F3480" s="99">
        <v>0.155</v>
      </c>
    </row>
    <row r="3481" spans="2:6" x14ac:dyDescent="0.2">
      <c r="B3481" s="101" t="s">
        <v>64</v>
      </c>
      <c r="C3481" s="30" t="s">
        <v>492</v>
      </c>
      <c r="D3481" s="101">
        <v>410</v>
      </c>
      <c r="E3481" s="183"/>
      <c r="F3481" s="99">
        <v>6.15</v>
      </c>
    </row>
    <row r="3482" spans="2:6" x14ac:dyDescent="0.2">
      <c r="B3482" s="101" t="s">
        <v>64</v>
      </c>
      <c r="C3482" s="30" t="s">
        <v>492</v>
      </c>
      <c r="D3482" s="101">
        <v>410</v>
      </c>
      <c r="E3482" s="183"/>
      <c r="F3482" s="99">
        <v>0.245</v>
      </c>
    </row>
    <row r="3483" spans="2:6" x14ac:dyDescent="0.2">
      <c r="B3483" s="101" t="s">
        <v>64</v>
      </c>
      <c r="C3483" s="30" t="s">
        <v>492</v>
      </c>
      <c r="D3483" s="101">
        <v>420</v>
      </c>
      <c r="E3483" s="25"/>
      <c r="F3483" s="99">
        <v>6.2</v>
      </c>
    </row>
    <row r="3484" spans="2:6" x14ac:dyDescent="0.2">
      <c r="B3484" s="101" t="s">
        <v>64</v>
      </c>
      <c r="C3484" s="30" t="s">
        <v>492</v>
      </c>
      <c r="D3484" s="101">
        <v>420</v>
      </c>
      <c r="E3484" s="25"/>
      <c r="F3484" s="99">
        <v>4.8</v>
      </c>
    </row>
    <row r="3485" spans="2:6" x14ac:dyDescent="0.2">
      <c r="B3485" s="101" t="s">
        <v>64</v>
      </c>
      <c r="C3485" s="30" t="s">
        <v>492</v>
      </c>
      <c r="D3485" s="101">
        <v>420</v>
      </c>
      <c r="E3485" s="25"/>
      <c r="F3485" s="99">
        <v>2.4500000000000002</v>
      </c>
    </row>
    <row r="3486" spans="2:6" x14ac:dyDescent="0.2">
      <c r="B3486" s="101" t="s">
        <v>64</v>
      </c>
      <c r="C3486" s="30" t="s">
        <v>492</v>
      </c>
      <c r="D3486" s="101">
        <v>420</v>
      </c>
      <c r="E3486" s="25"/>
      <c r="F3486" s="99">
        <f>1.34+0.3+0.57</f>
        <v>2.21</v>
      </c>
    </row>
    <row r="3487" spans="2:6" x14ac:dyDescent="0.2">
      <c r="B3487" s="101" t="s">
        <v>64</v>
      </c>
      <c r="C3487" s="30" t="s">
        <v>492</v>
      </c>
      <c r="D3487" s="101" t="s">
        <v>1835</v>
      </c>
      <c r="E3487" s="25"/>
      <c r="F3487" s="99"/>
    </row>
    <row r="3488" spans="2:6" x14ac:dyDescent="0.2">
      <c r="B3488" s="101" t="s">
        <v>64</v>
      </c>
      <c r="C3488" s="30" t="s">
        <v>492</v>
      </c>
      <c r="D3488" s="101">
        <v>430</v>
      </c>
      <c r="E3488" s="183"/>
      <c r="F3488" s="99">
        <v>3.68</v>
      </c>
    </row>
    <row r="3489" spans="2:6" x14ac:dyDescent="0.2">
      <c r="B3489" s="101" t="s">
        <v>64</v>
      </c>
      <c r="C3489" s="30" t="s">
        <v>492</v>
      </c>
      <c r="D3489" s="101">
        <v>430</v>
      </c>
      <c r="E3489" s="183"/>
      <c r="F3489" s="99">
        <v>0.3</v>
      </c>
    </row>
    <row r="3490" spans="2:6" x14ac:dyDescent="0.2">
      <c r="B3490" s="101" t="s">
        <v>64</v>
      </c>
      <c r="C3490" s="30" t="s">
        <v>492</v>
      </c>
      <c r="D3490" s="101">
        <v>430</v>
      </c>
      <c r="E3490" s="183"/>
      <c r="F3490" s="99">
        <v>0.16</v>
      </c>
    </row>
    <row r="3491" spans="2:6" x14ac:dyDescent="0.2">
      <c r="B3491" s="101" t="s">
        <v>64</v>
      </c>
      <c r="C3491" s="30" t="s">
        <v>492</v>
      </c>
      <c r="D3491" s="101" t="s">
        <v>2527</v>
      </c>
      <c r="E3491" s="183"/>
      <c r="F3491" s="99">
        <v>1.25</v>
      </c>
    </row>
    <row r="3492" spans="2:6" x14ac:dyDescent="0.2">
      <c r="B3492" s="101" t="s">
        <v>64</v>
      </c>
      <c r="C3492" s="30" t="s">
        <v>492</v>
      </c>
      <c r="D3492" s="101">
        <v>440</v>
      </c>
      <c r="E3492" s="183"/>
      <c r="F3492" s="99">
        <v>6.2</v>
      </c>
    </row>
    <row r="3493" spans="2:6" x14ac:dyDescent="0.2">
      <c r="B3493" s="101" t="s">
        <v>64</v>
      </c>
      <c r="C3493" s="30" t="s">
        <v>492</v>
      </c>
      <c r="D3493" s="101">
        <v>440</v>
      </c>
      <c r="E3493" s="183"/>
      <c r="F3493" s="99">
        <f>1.02+0.79</f>
        <v>1.81</v>
      </c>
    </row>
    <row r="3494" spans="2:6" x14ac:dyDescent="0.2">
      <c r="B3494" s="101" t="s">
        <v>64</v>
      </c>
      <c r="C3494" s="30" t="s">
        <v>492</v>
      </c>
      <c r="D3494" s="101" t="s">
        <v>1855</v>
      </c>
      <c r="E3494" s="183"/>
      <c r="F3494" s="99">
        <v>0.28000000000000003</v>
      </c>
    </row>
    <row r="3495" spans="2:6" x14ac:dyDescent="0.2">
      <c r="B3495" s="101" t="s">
        <v>64</v>
      </c>
      <c r="C3495" s="30" t="s">
        <v>492</v>
      </c>
      <c r="D3495" s="101">
        <v>440</v>
      </c>
      <c r="E3495" s="183"/>
      <c r="F3495" s="99">
        <v>0.23</v>
      </c>
    </row>
    <row r="3496" spans="2:6" x14ac:dyDescent="0.2">
      <c r="B3496" s="101" t="s">
        <v>64</v>
      </c>
      <c r="C3496" s="30" t="s">
        <v>492</v>
      </c>
      <c r="D3496" s="101">
        <v>450</v>
      </c>
      <c r="E3496" s="183"/>
      <c r="F3496" s="99">
        <v>2.81</v>
      </c>
    </row>
    <row r="3497" spans="2:6" x14ac:dyDescent="0.2">
      <c r="B3497" s="101" t="s">
        <v>64</v>
      </c>
      <c r="C3497" s="30" t="s">
        <v>492</v>
      </c>
      <c r="D3497" s="101">
        <v>450</v>
      </c>
      <c r="E3497" s="183"/>
      <c r="F3497" s="99">
        <f>0.75+0.2</f>
        <v>0.95</v>
      </c>
    </row>
    <row r="3498" spans="2:6" x14ac:dyDescent="0.2">
      <c r="B3498" s="101" t="s">
        <v>64</v>
      </c>
      <c r="C3498" s="30" t="s">
        <v>492</v>
      </c>
      <c r="D3498" s="101">
        <v>450</v>
      </c>
      <c r="E3498" s="183"/>
      <c r="F3498" s="99">
        <f>0.2+0.55</f>
        <v>0.75</v>
      </c>
    </row>
    <row r="3499" spans="2:6" x14ac:dyDescent="0.2">
      <c r="B3499" s="101" t="s">
        <v>64</v>
      </c>
      <c r="C3499" s="30" t="s">
        <v>492</v>
      </c>
      <c r="D3499" s="101" t="s">
        <v>1865</v>
      </c>
      <c r="E3499" s="183"/>
      <c r="F3499" s="99">
        <v>0.55000000000000004</v>
      </c>
    </row>
    <row r="3500" spans="2:6" x14ac:dyDescent="0.2">
      <c r="B3500" s="101" t="s">
        <v>64</v>
      </c>
      <c r="C3500" s="30" t="s">
        <v>492</v>
      </c>
      <c r="D3500" s="101">
        <v>460</v>
      </c>
      <c r="E3500" s="25"/>
      <c r="F3500" s="99">
        <v>6.2</v>
      </c>
    </row>
    <row r="3501" spans="2:6" x14ac:dyDescent="0.2">
      <c r="B3501" s="101" t="s">
        <v>64</v>
      </c>
      <c r="C3501" s="30" t="s">
        <v>492</v>
      </c>
      <c r="D3501" s="101">
        <v>460</v>
      </c>
      <c r="E3501" s="25"/>
      <c r="F3501" s="99">
        <f>1.12+3.05</f>
        <v>4.17</v>
      </c>
    </row>
    <row r="3502" spans="2:6" x14ac:dyDescent="0.2">
      <c r="B3502" s="101" t="s">
        <v>64</v>
      </c>
      <c r="C3502" s="30" t="s">
        <v>492</v>
      </c>
      <c r="D3502" s="101">
        <v>460</v>
      </c>
      <c r="E3502" s="25"/>
      <c r="F3502" s="99"/>
    </row>
    <row r="3503" spans="2:6" x14ac:dyDescent="0.2">
      <c r="B3503" s="101" t="s">
        <v>64</v>
      </c>
      <c r="C3503" s="30" t="s">
        <v>492</v>
      </c>
      <c r="D3503" s="101" t="s">
        <v>1879</v>
      </c>
      <c r="E3503" s="183"/>
      <c r="F3503" s="99"/>
    </row>
    <row r="3504" spans="2:6" x14ac:dyDescent="0.2">
      <c r="B3504" s="101" t="s">
        <v>64</v>
      </c>
      <c r="C3504" s="30" t="s">
        <v>492</v>
      </c>
      <c r="D3504" s="101" t="s">
        <v>1890</v>
      </c>
      <c r="E3504" s="25"/>
      <c r="F3504" s="99">
        <v>1.43</v>
      </c>
    </row>
    <row r="3505" spans="2:6" x14ac:dyDescent="0.2">
      <c r="B3505" s="101" t="s">
        <v>64</v>
      </c>
      <c r="C3505" s="30" t="s">
        <v>492</v>
      </c>
      <c r="D3505" s="101">
        <v>480</v>
      </c>
      <c r="E3505" s="183"/>
      <c r="F3505" s="99">
        <v>6.2</v>
      </c>
    </row>
    <row r="3506" spans="2:6" x14ac:dyDescent="0.2">
      <c r="B3506" s="101" t="s">
        <v>64</v>
      </c>
      <c r="C3506" s="30" t="s">
        <v>492</v>
      </c>
      <c r="D3506" s="101">
        <v>480</v>
      </c>
      <c r="E3506" s="183"/>
      <c r="F3506" s="99">
        <v>3.05</v>
      </c>
    </row>
    <row r="3507" spans="2:6" x14ac:dyDescent="0.2">
      <c r="B3507" s="101" t="s">
        <v>64</v>
      </c>
      <c r="C3507" s="30" t="s">
        <v>492</v>
      </c>
      <c r="D3507" s="101">
        <v>480</v>
      </c>
      <c r="E3507" s="183"/>
      <c r="F3507" s="99">
        <v>1.84</v>
      </c>
    </row>
    <row r="3508" spans="2:6" x14ac:dyDescent="0.2">
      <c r="B3508" s="101" t="s">
        <v>64</v>
      </c>
      <c r="C3508" s="30" t="s">
        <v>492</v>
      </c>
      <c r="D3508" s="101">
        <v>480</v>
      </c>
      <c r="E3508" s="183"/>
      <c r="F3508" s="99">
        <v>0.23</v>
      </c>
    </row>
    <row r="3509" spans="2:6" x14ac:dyDescent="0.2">
      <c r="B3509" s="101" t="s">
        <v>64</v>
      </c>
      <c r="C3509" s="30" t="s">
        <v>492</v>
      </c>
      <c r="D3509" s="101" t="s">
        <v>1905</v>
      </c>
      <c r="E3509" s="183"/>
      <c r="F3509" s="99"/>
    </row>
    <row r="3510" spans="2:6" x14ac:dyDescent="0.2">
      <c r="B3510" s="101" t="s">
        <v>64</v>
      </c>
      <c r="C3510" s="30" t="s">
        <v>492</v>
      </c>
      <c r="D3510" s="101">
        <v>490</v>
      </c>
      <c r="E3510" s="183"/>
      <c r="F3510" s="99">
        <v>0.13</v>
      </c>
    </row>
    <row r="3511" spans="2:6" x14ac:dyDescent="0.2">
      <c r="B3511" s="101" t="s">
        <v>64</v>
      </c>
      <c r="C3511" s="30" t="s">
        <v>492</v>
      </c>
      <c r="D3511" s="101">
        <v>500</v>
      </c>
      <c r="E3511" s="183"/>
      <c r="F3511" s="99">
        <v>7.1</v>
      </c>
    </row>
    <row r="3512" spans="2:6" x14ac:dyDescent="0.2">
      <c r="B3512" s="101" t="s">
        <v>64</v>
      </c>
      <c r="C3512" s="30" t="s">
        <v>492</v>
      </c>
      <c r="D3512" s="101">
        <v>500</v>
      </c>
      <c r="E3512" s="183"/>
      <c r="F3512" s="99">
        <v>5.33</v>
      </c>
    </row>
    <row r="3513" spans="2:6" x14ac:dyDescent="0.2">
      <c r="B3513" s="101" t="s">
        <v>64</v>
      </c>
      <c r="C3513" s="30" t="s">
        <v>492</v>
      </c>
      <c r="D3513" s="101">
        <v>500</v>
      </c>
      <c r="E3513" s="183"/>
      <c r="F3513" s="99">
        <v>1.8</v>
      </c>
    </row>
    <row r="3514" spans="2:6" x14ac:dyDescent="0.2">
      <c r="B3514" s="101" t="s">
        <v>64</v>
      </c>
      <c r="C3514" s="30" t="s">
        <v>492</v>
      </c>
      <c r="D3514" s="101" t="s">
        <v>2543</v>
      </c>
      <c r="E3514" s="183"/>
      <c r="F3514" s="99"/>
    </row>
    <row r="3515" spans="2:6" x14ac:dyDescent="0.2">
      <c r="B3515" s="101" t="s">
        <v>64</v>
      </c>
      <c r="C3515" s="30" t="s">
        <v>492</v>
      </c>
      <c r="D3515" s="101">
        <v>510</v>
      </c>
      <c r="E3515" s="183"/>
      <c r="F3515" s="99">
        <v>7.44</v>
      </c>
    </row>
    <row r="3516" spans="2:6" x14ac:dyDescent="0.2">
      <c r="B3516" s="101" t="s">
        <v>64</v>
      </c>
      <c r="C3516" s="30" t="s">
        <v>492</v>
      </c>
      <c r="D3516" s="101" t="s">
        <v>1928</v>
      </c>
      <c r="E3516" s="183"/>
      <c r="F3516" s="99"/>
    </row>
    <row r="3517" spans="2:6" x14ac:dyDescent="0.2">
      <c r="B3517" s="101" t="s">
        <v>64</v>
      </c>
      <c r="C3517" s="30" t="s">
        <v>492</v>
      </c>
      <c r="D3517" s="101">
        <v>530</v>
      </c>
      <c r="E3517" s="183"/>
      <c r="F3517" s="99">
        <f>3.55+8.88</f>
        <v>12.43</v>
      </c>
    </row>
    <row r="3518" spans="2:6" x14ac:dyDescent="0.2">
      <c r="B3518" s="101" t="s">
        <v>64</v>
      </c>
      <c r="C3518" s="30" t="s">
        <v>492</v>
      </c>
      <c r="D3518" s="101">
        <v>530</v>
      </c>
      <c r="E3518" s="183"/>
      <c r="F3518" s="99">
        <v>3.38</v>
      </c>
    </row>
    <row r="3519" spans="2:6" x14ac:dyDescent="0.2">
      <c r="B3519" s="101" t="s">
        <v>64</v>
      </c>
      <c r="C3519" s="30" t="s">
        <v>492</v>
      </c>
      <c r="D3519" s="101">
        <v>540</v>
      </c>
      <c r="E3519" s="183"/>
      <c r="F3519" s="99">
        <v>7.45</v>
      </c>
    </row>
    <row r="3520" spans="2:6" x14ac:dyDescent="0.2">
      <c r="B3520" s="101" t="s">
        <v>64</v>
      </c>
      <c r="C3520" s="30" t="s">
        <v>492</v>
      </c>
      <c r="D3520" s="101">
        <v>550</v>
      </c>
      <c r="E3520" s="183"/>
      <c r="F3520" s="99">
        <v>0.52</v>
      </c>
    </row>
    <row r="3521" spans="2:6" x14ac:dyDescent="0.2">
      <c r="B3521" s="101" t="s">
        <v>64</v>
      </c>
      <c r="C3521" s="30" t="s">
        <v>492</v>
      </c>
      <c r="D3521" s="101" t="s">
        <v>1951</v>
      </c>
      <c r="E3521" s="183"/>
      <c r="F3521" s="99">
        <v>0.43</v>
      </c>
    </row>
    <row r="3522" spans="2:6" x14ac:dyDescent="0.2">
      <c r="B3522" s="101" t="s">
        <v>64</v>
      </c>
      <c r="C3522" s="30" t="s">
        <v>492</v>
      </c>
      <c r="D3522" s="101" t="s">
        <v>1948</v>
      </c>
      <c r="E3522" s="183"/>
      <c r="F3522" s="99">
        <v>0.26</v>
      </c>
    </row>
    <row r="3523" spans="2:6" x14ac:dyDescent="0.2">
      <c r="B3523" s="101" t="s">
        <v>64</v>
      </c>
      <c r="C3523" s="30" t="s">
        <v>492</v>
      </c>
      <c r="D3523" s="101" t="s">
        <v>1959</v>
      </c>
      <c r="E3523" s="183"/>
      <c r="F3523" s="99">
        <v>0.26</v>
      </c>
    </row>
    <row r="3524" spans="2:6" x14ac:dyDescent="0.2">
      <c r="B3524" s="101" t="s">
        <v>64</v>
      </c>
      <c r="C3524" s="30" t="s">
        <v>492</v>
      </c>
      <c r="D3524" s="101">
        <v>560</v>
      </c>
      <c r="E3524" s="25"/>
      <c r="F3524" s="99">
        <f>5.62+5.34</f>
        <v>10.96</v>
      </c>
    </row>
    <row r="3525" spans="2:6" x14ac:dyDescent="0.2">
      <c r="B3525" s="101" t="s">
        <v>64</v>
      </c>
      <c r="C3525" s="30" t="s">
        <v>492</v>
      </c>
      <c r="D3525" s="101">
        <v>560</v>
      </c>
      <c r="E3525" s="183"/>
      <c r="F3525" s="99">
        <v>4.2</v>
      </c>
    </row>
    <row r="3526" spans="2:6" x14ac:dyDescent="0.2">
      <c r="B3526" s="101" t="s">
        <v>64</v>
      </c>
      <c r="C3526" s="30" t="s">
        <v>492</v>
      </c>
      <c r="D3526" s="101" t="s">
        <v>1962</v>
      </c>
      <c r="E3526" s="183"/>
      <c r="F3526" s="99">
        <v>0.26</v>
      </c>
    </row>
    <row r="3527" spans="2:6" x14ac:dyDescent="0.2">
      <c r="B3527" s="101" t="s">
        <v>64</v>
      </c>
      <c r="C3527" s="30" t="s">
        <v>492</v>
      </c>
      <c r="D3527" s="101">
        <v>570</v>
      </c>
      <c r="E3527" s="25"/>
      <c r="F3527" s="99">
        <v>5.42</v>
      </c>
    </row>
    <row r="3528" spans="2:6" x14ac:dyDescent="0.2">
      <c r="B3528" s="101" t="s">
        <v>64</v>
      </c>
      <c r="C3528" s="30" t="s">
        <v>492</v>
      </c>
      <c r="D3528" s="101">
        <v>580</v>
      </c>
      <c r="E3528" s="183"/>
      <c r="F3528" s="99">
        <v>0.8</v>
      </c>
    </row>
    <row r="3529" spans="2:6" x14ac:dyDescent="0.2">
      <c r="B3529" s="101" t="s">
        <v>64</v>
      </c>
      <c r="C3529" s="30" t="s">
        <v>492</v>
      </c>
      <c r="D3529" s="101">
        <v>600</v>
      </c>
      <c r="E3529" s="183"/>
      <c r="F3529" s="99">
        <v>2.58</v>
      </c>
    </row>
    <row r="3530" spans="2:6" x14ac:dyDescent="0.2">
      <c r="B3530" s="101" t="s">
        <v>64</v>
      </c>
      <c r="C3530" s="30" t="s">
        <v>492</v>
      </c>
      <c r="D3530" s="101">
        <v>640</v>
      </c>
      <c r="E3530" s="183"/>
      <c r="F3530" s="99">
        <v>4.74</v>
      </c>
    </row>
    <row r="3531" spans="2:6" x14ac:dyDescent="0.2">
      <c r="B3531" s="101" t="s">
        <v>64</v>
      </c>
      <c r="C3531" s="30" t="s">
        <v>492</v>
      </c>
      <c r="D3531" s="101">
        <v>650</v>
      </c>
      <c r="E3531" s="183"/>
      <c r="F3531" s="99">
        <v>1.63</v>
      </c>
    </row>
    <row r="3532" spans="2:6" x14ac:dyDescent="0.2">
      <c r="B3532" s="101" t="s">
        <v>64</v>
      </c>
      <c r="C3532" s="30" t="s">
        <v>492</v>
      </c>
      <c r="D3532" s="101" t="s">
        <v>2041</v>
      </c>
      <c r="E3532" s="183"/>
      <c r="F3532" s="99">
        <v>0.33</v>
      </c>
    </row>
    <row r="3533" spans="2:6" x14ac:dyDescent="0.2">
      <c r="B3533" s="101" t="s">
        <v>64</v>
      </c>
      <c r="C3533" s="30" t="s">
        <v>492</v>
      </c>
      <c r="D3533" s="101">
        <v>680</v>
      </c>
      <c r="E3533" s="183"/>
      <c r="F3533" s="99">
        <v>6.95</v>
      </c>
    </row>
    <row r="3534" spans="2:6" x14ac:dyDescent="0.2">
      <c r="B3534" s="101" t="s">
        <v>64</v>
      </c>
      <c r="C3534" s="30" t="s">
        <v>492</v>
      </c>
      <c r="D3534" s="101" t="s">
        <v>2053</v>
      </c>
      <c r="E3534" s="183"/>
      <c r="F3534" s="99">
        <v>1.89</v>
      </c>
    </row>
    <row r="3535" spans="2:6" x14ac:dyDescent="0.2">
      <c r="B3535" s="101" t="s">
        <v>64</v>
      </c>
      <c r="C3535" s="30" t="s">
        <v>492</v>
      </c>
      <c r="D3535" s="101" t="s">
        <v>2054</v>
      </c>
      <c r="E3535" s="183"/>
      <c r="F3535" s="99">
        <f>0.35+0.35+0.37+0.33</f>
        <v>1.4</v>
      </c>
    </row>
    <row r="3536" spans="2:6" x14ac:dyDescent="0.2">
      <c r="B3536" s="101" t="s">
        <v>64</v>
      </c>
      <c r="C3536" s="30" t="s">
        <v>492</v>
      </c>
      <c r="D3536" s="101">
        <v>700</v>
      </c>
      <c r="E3536" s="183"/>
      <c r="F3536" s="99">
        <v>3.33</v>
      </c>
    </row>
    <row r="3537" spans="2:6" x14ac:dyDescent="0.2">
      <c r="B3537" s="101" t="s">
        <v>64</v>
      </c>
      <c r="C3537" s="30" t="s">
        <v>492</v>
      </c>
      <c r="D3537" s="101" t="s">
        <v>2068</v>
      </c>
      <c r="E3537" s="183"/>
      <c r="F3537" s="99">
        <v>0.34</v>
      </c>
    </row>
    <row r="3538" spans="2:6" x14ac:dyDescent="0.2">
      <c r="B3538" s="101" t="s">
        <v>64</v>
      </c>
      <c r="C3538" s="30" t="s">
        <v>492</v>
      </c>
      <c r="D3538" s="101" t="s">
        <v>2081</v>
      </c>
      <c r="E3538" s="183"/>
      <c r="F3538" s="99">
        <f>0.41+0.41</f>
        <v>0.82</v>
      </c>
    </row>
    <row r="3539" spans="2:6" x14ac:dyDescent="0.2">
      <c r="B3539" s="101" t="s">
        <v>64</v>
      </c>
      <c r="C3539" s="30" t="s">
        <v>492</v>
      </c>
      <c r="D3539" s="101" t="s">
        <v>2091</v>
      </c>
      <c r="E3539" s="25"/>
      <c r="F3539" s="99">
        <v>0.41</v>
      </c>
    </row>
    <row r="3540" spans="2:6" x14ac:dyDescent="0.2">
      <c r="B3540" s="101" t="s">
        <v>64</v>
      </c>
      <c r="C3540" s="30" t="s">
        <v>492</v>
      </c>
      <c r="D3540" s="101">
        <v>750</v>
      </c>
      <c r="E3540" s="25"/>
      <c r="F3540" s="99">
        <v>8.4700000000000006</v>
      </c>
    </row>
    <row r="3541" spans="2:6" x14ac:dyDescent="0.2">
      <c r="B3541" s="101" t="s">
        <v>64</v>
      </c>
      <c r="C3541" s="30" t="s">
        <v>492</v>
      </c>
      <c r="D3541" s="101">
        <v>800</v>
      </c>
      <c r="E3541" s="183"/>
      <c r="F3541" s="99">
        <v>7.7</v>
      </c>
    </row>
    <row r="3542" spans="2:6" x14ac:dyDescent="0.2">
      <c r="B3542" s="101" t="s">
        <v>64</v>
      </c>
      <c r="C3542" s="30" t="s">
        <v>492</v>
      </c>
      <c r="D3542" s="101">
        <v>800</v>
      </c>
      <c r="E3542" s="183"/>
      <c r="F3542" s="99">
        <v>0.42</v>
      </c>
    </row>
    <row r="3543" spans="2:6" x14ac:dyDescent="0.2">
      <c r="B3543" s="101" t="s">
        <v>64</v>
      </c>
      <c r="C3543" s="30" t="s">
        <v>492</v>
      </c>
      <c r="D3543" s="101">
        <v>800</v>
      </c>
      <c r="E3543" s="183"/>
      <c r="F3543" s="99">
        <v>1.3</v>
      </c>
    </row>
    <row r="3544" spans="2:6" x14ac:dyDescent="0.2">
      <c r="B3544" s="101" t="s">
        <v>64</v>
      </c>
      <c r="C3544" s="30" t="s">
        <v>492</v>
      </c>
      <c r="D3544" s="101">
        <v>920</v>
      </c>
      <c r="E3544" s="183"/>
      <c r="F3544" s="99">
        <f>0.78</f>
        <v>0.78</v>
      </c>
    </row>
    <row r="3545" spans="2:6" x14ac:dyDescent="0.2">
      <c r="B3545" s="101" t="s">
        <v>64</v>
      </c>
      <c r="C3545" s="30" t="s">
        <v>492</v>
      </c>
      <c r="D3545" s="101">
        <v>930</v>
      </c>
      <c r="E3545" s="183"/>
      <c r="F3545" s="99">
        <f>0.77</f>
        <v>0.77</v>
      </c>
    </row>
    <row r="3546" spans="2:6" x14ac:dyDescent="0.2">
      <c r="B3546" s="101" t="s">
        <v>64</v>
      </c>
      <c r="C3546" s="30" t="s">
        <v>492</v>
      </c>
      <c r="D3546" s="101">
        <v>940</v>
      </c>
      <c r="E3546" s="183"/>
      <c r="F3546" s="99">
        <v>0.73</v>
      </c>
    </row>
    <row r="3547" spans="2:6" x14ac:dyDescent="0.2">
      <c r="B3547" s="101" t="s">
        <v>64</v>
      </c>
      <c r="C3547" s="30" t="s">
        <v>492</v>
      </c>
      <c r="D3547" s="101">
        <v>940</v>
      </c>
      <c r="E3547" s="183"/>
      <c r="F3547" s="99">
        <v>0.77</v>
      </c>
    </row>
    <row r="3548" spans="2:6" x14ac:dyDescent="0.2">
      <c r="B3548" s="101" t="s">
        <v>64</v>
      </c>
      <c r="C3548" s="30" t="s">
        <v>492</v>
      </c>
      <c r="D3548" s="101">
        <v>980</v>
      </c>
      <c r="E3548" s="183"/>
      <c r="F3548" s="99">
        <v>0.8</v>
      </c>
    </row>
    <row r="3549" spans="2:6" x14ac:dyDescent="0.2">
      <c r="B3549" s="101" t="s">
        <v>64</v>
      </c>
      <c r="C3549" s="30" t="s">
        <v>492</v>
      </c>
      <c r="D3549" s="101" t="s">
        <v>2273</v>
      </c>
      <c r="E3549" s="183"/>
      <c r="F3549" s="99">
        <v>1.07</v>
      </c>
    </row>
    <row r="3550" spans="2:6" x14ac:dyDescent="0.2">
      <c r="B3550" s="101" t="s">
        <v>64</v>
      </c>
      <c r="C3550" s="30" t="s">
        <v>492</v>
      </c>
      <c r="D3550" s="101" t="s">
        <v>2274</v>
      </c>
      <c r="E3550" s="183"/>
      <c r="F3550" s="99">
        <v>0.98</v>
      </c>
    </row>
    <row r="3551" spans="2:6" x14ac:dyDescent="0.2">
      <c r="B3551" s="101" t="s">
        <v>64</v>
      </c>
      <c r="C3551" s="30" t="s">
        <v>492</v>
      </c>
      <c r="D3551" s="101" t="s">
        <v>2275</v>
      </c>
      <c r="E3551" s="183"/>
      <c r="F3551" s="99">
        <v>1.01</v>
      </c>
    </row>
    <row r="3552" spans="2:6" x14ac:dyDescent="0.2">
      <c r="B3552" s="101" t="s">
        <v>64</v>
      </c>
      <c r="C3552" s="30" t="s">
        <v>492</v>
      </c>
      <c r="D3552" s="101" t="s">
        <v>2284</v>
      </c>
      <c r="E3552" s="183"/>
      <c r="F3552" s="99">
        <v>1.01</v>
      </c>
    </row>
    <row r="3553" spans="2:6" x14ac:dyDescent="0.2">
      <c r="B3553" s="101" t="s">
        <v>64</v>
      </c>
      <c r="C3553" s="30" t="s">
        <v>492</v>
      </c>
      <c r="D3553" s="101" t="s">
        <v>2285</v>
      </c>
      <c r="E3553" s="183"/>
      <c r="F3553" s="99">
        <v>1.01</v>
      </c>
    </row>
    <row r="3554" spans="2:6" x14ac:dyDescent="0.2">
      <c r="B3554" s="101" t="s">
        <v>64</v>
      </c>
      <c r="C3554" s="30" t="s">
        <v>492</v>
      </c>
      <c r="D3554" s="101" t="s">
        <v>2286</v>
      </c>
      <c r="E3554" s="183"/>
      <c r="F3554" s="99">
        <v>1</v>
      </c>
    </row>
    <row r="3555" spans="2:6" x14ac:dyDescent="0.2">
      <c r="B3555" s="101" t="s">
        <v>64</v>
      </c>
      <c r="C3555" s="30" t="s">
        <v>492</v>
      </c>
      <c r="D3555" s="101" t="s">
        <v>2291</v>
      </c>
      <c r="E3555" s="183"/>
      <c r="F3555" s="99">
        <v>1.04</v>
      </c>
    </row>
    <row r="3556" spans="2:6" x14ac:dyDescent="0.2">
      <c r="B3556" s="101" t="s">
        <v>64</v>
      </c>
      <c r="C3556" s="30" t="s">
        <v>492</v>
      </c>
      <c r="D3556" s="101" t="s">
        <v>2320</v>
      </c>
      <c r="E3556" s="183"/>
      <c r="F3556" s="99">
        <v>1.79</v>
      </c>
    </row>
    <row r="3557" spans="2:6" x14ac:dyDescent="0.2">
      <c r="B3557" s="101" t="s">
        <v>64</v>
      </c>
      <c r="C3557" s="30" t="s">
        <v>492</v>
      </c>
      <c r="D3557" s="101" t="s">
        <v>2322</v>
      </c>
      <c r="E3557" s="183"/>
      <c r="F3557" s="99">
        <v>1.81</v>
      </c>
    </row>
    <row r="3558" spans="2:6" x14ac:dyDescent="0.2">
      <c r="B3558" s="101" t="s">
        <v>64</v>
      </c>
      <c r="C3558" s="30" t="s">
        <v>492</v>
      </c>
      <c r="D3558" s="101" t="s">
        <v>2328</v>
      </c>
      <c r="E3558" s="183"/>
      <c r="F3558" s="99">
        <v>1.72</v>
      </c>
    </row>
    <row r="3559" spans="2:6" x14ac:dyDescent="0.2">
      <c r="B3559" s="101" t="s">
        <v>64</v>
      </c>
      <c r="C3559" s="30" t="s">
        <v>492</v>
      </c>
      <c r="D3559" s="101" t="s">
        <v>2327</v>
      </c>
      <c r="E3559" s="183"/>
      <c r="F3559" s="99">
        <v>1.69</v>
      </c>
    </row>
    <row r="3560" spans="2:6" x14ac:dyDescent="0.2">
      <c r="B3560" s="101" t="s">
        <v>64</v>
      </c>
      <c r="C3560" s="30" t="s">
        <v>492</v>
      </c>
      <c r="D3560" s="101" t="s">
        <v>2327</v>
      </c>
      <c r="E3560" s="183"/>
      <c r="F3560" s="99">
        <v>1.895</v>
      </c>
    </row>
    <row r="3561" spans="2:6" x14ac:dyDescent="0.2">
      <c r="B3561" s="101" t="s">
        <v>64</v>
      </c>
      <c r="C3561" s="30" t="s">
        <v>492</v>
      </c>
      <c r="D3561" s="101" t="s">
        <v>2336</v>
      </c>
      <c r="E3561" s="183"/>
      <c r="F3561" s="99">
        <v>5.36</v>
      </c>
    </row>
    <row r="3562" spans="2:6" x14ac:dyDescent="0.2">
      <c r="B3562" s="101" t="s">
        <v>64</v>
      </c>
      <c r="C3562" s="30" t="s">
        <v>492</v>
      </c>
      <c r="D3562" s="101" t="s">
        <v>2336</v>
      </c>
      <c r="E3562" s="183"/>
      <c r="F3562" s="99">
        <v>2.92</v>
      </c>
    </row>
    <row r="3563" spans="2:6" x14ac:dyDescent="0.2">
      <c r="B3563" s="101" t="s">
        <v>64</v>
      </c>
      <c r="C3563" s="30" t="s">
        <v>492</v>
      </c>
      <c r="D3563" s="101" t="s">
        <v>2349</v>
      </c>
      <c r="E3563" s="183"/>
      <c r="F3563" s="99">
        <v>2.4</v>
      </c>
    </row>
    <row r="3564" spans="2:6" x14ac:dyDescent="0.2">
      <c r="B3564" s="101" t="s">
        <v>64</v>
      </c>
      <c r="C3564" s="30" t="s">
        <v>492</v>
      </c>
      <c r="D3564" s="101" t="s">
        <v>2350</v>
      </c>
      <c r="E3564" s="183"/>
      <c r="F3564" s="99">
        <v>2.44</v>
      </c>
    </row>
    <row r="3565" spans="2:6" x14ac:dyDescent="0.2">
      <c r="B3565" s="101" t="s">
        <v>64</v>
      </c>
      <c r="C3565" s="30" t="s">
        <v>2358</v>
      </c>
      <c r="D3565" s="101" t="s">
        <v>2359</v>
      </c>
      <c r="E3565" s="183"/>
      <c r="F3565" s="99">
        <v>11.42</v>
      </c>
    </row>
    <row r="3566" spans="2:6" x14ac:dyDescent="0.2">
      <c r="B3566" s="101" t="s">
        <v>64</v>
      </c>
      <c r="C3566" s="30" t="s">
        <v>2055</v>
      </c>
      <c r="D3566" s="101">
        <v>680</v>
      </c>
      <c r="E3566" s="183"/>
      <c r="F3566" s="99"/>
    </row>
    <row r="3567" spans="2:6" x14ac:dyDescent="0.2">
      <c r="B3567" s="101" t="s">
        <v>64</v>
      </c>
      <c r="C3567" s="30" t="s">
        <v>2055</v>
      </c>
      <c r="D3567" s="101" t="s">
        <v>2581</v>
      </c>
      <c r="E3567" s="183"/>
      <c r="F3567" s="99">
        <v>1.1399999999999999</v>
      </c>
    </row>
    <row r="3568" spans="2:6" x14ac:dyDescent="0.2">
      <c r="B3568" s="78" t="s">
        <v>64</v>
      </c>
      <c r="C3568" s="174" t="s">
        <v>406</v>
      </c>
      <c r="D3568" s="2" t="s">
        <v>87</v>
      </c>
      <c r="E3568" s="77"/>
      <c r="F3568" s="39">
        <v>0.20499999999999999</v>
      </c>
    </row>
    <row r="3569" spans="2:6" x14ac:dyDescent="0.2">
      <c r="B3569" s="101" t="s">
        <v>64</v>
      </c>
      <c r="C3569" s="30" t="s">
        <v>406</v>
      </c>
      <c r="D3569" s="101">
        <v>360</v>
      </c>
      <c r="E3569" s="25"/>
      <c r="F3569" s="99">
        <v>3.72</v>
      </c>
    </row>
    <row r="3570" spans="2:6" x14ac:dyDescent="0.2">
      <c r="B3570" s="101" t="s">
        <v>64</v>
      </c>
      <c r="C3570" s="30" t="s">
        <v>406</v>
      </c>
      <c r="D3570" s="101">
        <v>360</v>
      </c>
      <c r="E3570" s="25"/>
      <c r="F3570" s="99">
        <v>3</v>
      </c>
    </row>
    <row r="3571" spans="2:6" x14ac:dyDescent="0.2">
      <c r="B3571" s="101" t="s">
        <v>64</v>
      </c>
      <c r="C3571" s="30" t="s">
        <v>406</v>
      </c>
      <c r="D3571" s="101">
        <v>380</v>
      </c>
      <c r="E3571" s="183"/>
      <c r="F3571" s="99">
        <v>5</v>
      </c>
    </row>
    <row r="3572" spans="2:6" x14ac:dyDescent="0.2">
      <c r="B3572" s="101" t="s">
        <v>64</v>
      </c>
      <c r="C3572" s="30" t="s">
        <v>406</v>
      </c>
      <c r="D3572" s="101">
        <v>380</v>
      </c>
      <c r="E3572" s="183"/>
      <c r="F3572" s="99">
        <f>4.92+2.28</f>
        <v>7.1999999999999993</v>
      </c>
    </row>
    <row r="3573" spans="2:6" x14ac:dyDescent="0.2">
      <c r="B3573" s="101" t="s">
        <v>64</v>
      </c>
      <c r="C3573" s="30" t="s">
        <v>406</v>
      </c>
      <c r="D3573" s="101">
        <v>380</v>
      </c>
      <c r="E3573" s="183"/>
      <c r="F3573" s="99">
        <v>0.48</v>
      </c>
    </row>
    <row r="3574" spans="2:6" x14ac:dyDescent="0.2">
      <c r="B3574" s="101" t="s">
        <v>64</v>
      </c>
      <c r="C3574" s="30" t="s">
        <v>406</v>
      </c>
      <c r="D3574" s="101">
        <v>400</v>
      </c>
      <c r="E3574" s="183"/>
      <c r="F3574" s="99">
        <v>5.8</v>
      </c>
    </row>
    <row r="3575" spans="2:6" x14ac:dyDescent="0.2">
      <c r="B3575" s="101" t="s">
        <v>64</v>
      </c>
      <c r="C3575" s="30" t="s">
        <v>406</v>
      </c>
      <c r="D3575" s="101">
        <v>400</v>
      </c>
      <c r="E3575" s="183"/>
      <c r="F3575" s="99">
        <v>3.76</v>
      </c>
    </row>
    <row r="3576" spans="2:6" x14ac:dyDescent="0.2">
      <c r="B3576" s="101" t="s">
        <v>64</v>
      </c>
      <c r="C3576" s="30" t="s">
        <v>406</v>
      </c>
      <c r="D3576" s="101">
        <v>405</v>
      </c>
      <c r="E3576" s="183"/>
      <c r="F3576" s="99">
        <v>4.5199999999999996</v>
      </c>
    </row>
    <row r="3577" spans="2:6" x14ac:dyDescent="0.2">
      <c r="B3577" s="101" t="s">
        <v>64</v>
      </c>
      <c r="C3577" s="30" t="s">
        <v>406</v>
      </c>
      <c r="D3577" s="101">
        <v>420</v>
      </c>
      <c r="E3577" s="25"/>
      <c r="F3577" s="99">
        <v>12</v>
      </c>
    </row>
    <row r="3578" spans="2:6" x14ac:dyDescent="0.2">
      <c r="B3578" s="101" t="s">
        <v>64</v>
      </c>
      <c r="C3578" s="30" t="s">
        <v>406</v>
      </c>
      <c r="D3578" s="101">
        <v>420</v>
      </c>
      <c r="E3578" s="25"/>
      <c r="F3578" s="99">
        <f>0.18+0.57</f>
        <v>0.75</v>
      </c>
    </row>
    <row r="3579" spans="2:6" x14ac:dyDescent="0.2">
      <c r="B3579" s="101" t="s">
        <v>64</v>
      </c>
      <c r="C3579" s="30" t="s">
        <v>406</v>
      </c>
      <c r="D3579" s="101">
        <v>450</v>
      </c>
      <c r="E3579" s="183"/>
      <c r="F3579" s="99">
        <v>6</v>
      </c>
    </row>
    <row r="3580" spans="2:6" x14ac:dyDescent="0.2">
      <c r="B3580" s="101" t="s">
        <v>64</v>
      </c>
      <c r="C3580" s="30" t="s">
        <v>406</v>
      </c>
      <c r="D3580" s="101">
        <v>450</v>
      </c>
      <c r="E3580" s="183"/>
      <c r="F3580" s="99">
        <v>5.92</v>
      </c>
    </row>
    <row r="3581" spans="2:6" x14ac:dyDescent="0.2">
      <c r="B3581" s="101" t="s">
        <v>64</v>
      </c>
      <c r="C3581" s="30" t="s">
        <v>406</v>
      </c>
      <c r="D3581" s="101">
        <v>460</v>
      </c>
      <c r="E3581" s="183"/>
      <c r="F3581" s="99">
        <f>7.22+5.94</f>
        <v>13.16</v>
      </c>
    </row>
    <row r="3582" spans="2:6" x14ac:dyDescent="0.2">
      <c r="B3582" s="101" t="s">
        <v>64</v>
      </c>
      <c r="C3582" s="30" t="s">
        <v>406</v>
      </c>
      <c r="D3582" s="101">
        <v>480</v>
      </c>
      <c r="E3582" s="183"/>
      <c r="F3582" s="99">
        <v>5.5</v>
      </c>
    </row>
    <row r="3583" spans="2:6" x14ac:dyDescent="0.2">
      <c r="B3583" s="101" t="s">
        <v>64</v>
      </c>
      <c r="C3583" s="30" t="s">
        <v>406</v>
      </c>
      <c r="D3583" s="101">
        <v>480</v>
      </c>
      <c r="E3583" s="183"/>
      <c r="F3583" s="99">
        <v>7.33</v>
      </c>
    </row>
    <row r="3584" spans="2:6" x14ac:dyDescent="0.2">
      <c r="B3584" s="101" t="s">
        <v>64</v>
      </c>
      <c r="C3584" s="30" t="s">
        <v>406</v>
      </c>
      <c r="D3584" s="101">
        <v>480</v>
      </c>
      <c r="E3584" s="183"/>
      <c r="F3584" s="99">
        <f>3.3+2.78</f>
        <v>6.08</v>
      </c>
    </row>
    <row r="3585" spans="2:6" x14ac:dyDescent="0.2">
      <c r="B3585" s="101" t="s">
        <v>64</v>
      </c>
      <c r="C3585" s="30" t="s">
        <v>406</v>
      </c>
      <c r="D3585" s="101">
        <v>500</v>
      </c>
      <c r="E3585" s="183"/>
      <c r="F3585" s="99">
        <v>7.35</v>
      </c>
    </row>
    <row r="3586" spans="2:6" x14ac:dyDescent="0.2">
      <c r="B3586" s="101" t="s">
        <v>64</v>
      </c>
      <c r="C3586" s="30" t="s">
        <v>406</v>
      </c>
      <c r="D3586" s="101">
        <v>500</v>
      </c>
      <c r="E3586" s="183"/>
      <c r="F3586" s="99">
        <v>5.8</v>
      </c>
    </row>
    <row r="3587" spans="2:6" x14ac:dyDescent="0.2">
      <c r="B3587" s="101" t="s">
        <v>64</v>
      </c>
      <c r="C3587" s="30" t="s">
        <v>406</v>
      </c>
      <c r="D3587" s="101">
        <v>500</v>
      </c>
      <c r="E3587" s="183"/>
      <c r="F3587" s="99">
        <v>6.02</v>
      </c>
    </row>
    <row r="3588" spans="2:6" x14ac:dyDescent="0.2">
      <c r="B3588" s="101" t="s">
        <v>64</v>
      </c>
      <c r="C3588" s="30" t="s">
        <v>406</v>
      </c>
      <c r="D3588" s="101" t="s">
        <v>1913</v>
      </c>
      <c r="E3588" s="183"/>
      <c r="F3588" s="99">
        <v>2.2000000000000002</v>
      </c>
    </row>
    <row r="3589" spans="2:6" x14ac:dyDescent="0.2">
      <c r="B3589" s="101" t="s">
        <v>64</v>
      </c>
      <c r="C3589" s="30" t="s">
        <v>406</v>
      </c>
      <c r="D3589" s="101" t="s">
        <v>1921</v>
      </c>
      <c r="E3589" s="183"/>
      <c r="F3589" s="99">
        <v>1.28</v>
      </c>
    </row>
    <row r="3590" spans="2:6" x14ac:dyDescent="0.2">
      <c r="B3590" s="101" t="s">
        <v>64</v>
      </c>
      <c r="C3590" s="30" t="s">
        <v>406</v>
      </c>
      <c r="D3590" s="101">
        <v>500</v>
      </c>
      <c r="E3590" s="183"/>
      <c r="F3590" s="99">
        <v>0.12</v>
      </c>
    </row>
    <row r="3591" spans="2:6" x14ac:dyDescent="0.2">
      <c r="B3591" s="101" t="s">
        <v>64</v>
      </c>
      <c r="C3591" s="30" t="s">
        <v>406</v>
      </c>
      <c r="D3591" s="101" t="s">
        <v>2547</v>
      </c>
      <c r="E3591" s="183"/>
      <c r="F3591" s="99"/>
    </row>
    <row r="3592" spans="2:6" x14ac:dyDescent="0.2">
      <c r="B3592" s="101" t="s">
        <v>64</v>
      </c>
      <c r="C3592" s="30" t="s">
        <v>406</v>
      </c>
      <c r="D3592" s="101">
        <v>520</v>
      </c>
      <c r="E3592" s="183"/>
      <c r="F3592" s="99">
        <v>16.7</v>
      </c>
    </row>
    <row r="3593" spans="2:6" x14ac:dyDescent="0.2">
      <c r="B3593" s="101" t="s">
        <v>64</v>
      </c>
      <c r="C3593" s="30" t="s">
        <v>406</v>
      </c>
      <c r="D3593" s="101">
        <v>520</v>
      </c>
      <c r="E3593" s="183"/>
      <c r="F3593" s="99">
        <v>8.06</v>
      </c>
    </row>
    <row r="3594" spans="2:6" x14ac:dyDescent="0.2">
      <c r="B3594" s="101" t="s">
        <v>64</v>
      </c>
      <c r="C3594" s="30" t="s">
        <v>406</v>
      </c>
      <c r="D3594" s="101">
        <v>530</v>
      </c>
      <c r="E3594" s="183"/>
      <c r="F3594" s="99">
        <f>8.28+8.42</f>
        <v>16.7</v>
      </c>
    </row>
    <row r="3595" spans="2:6" x14ac:dyDescent="0.2">
      <c r="B3595" s="101" t="s">
        <v>64</v>
      </c>
      <c r="C3595" s="30" t="s">
        <v>406</v>
      </c>
      <c r="D3595" s="101">
        <v>530</v>
      </c>
      <c r="E3595" s="183"/>
      <c r="F3595" s="99">
        <v>8.23</v>
      </c>
    </row>
    <row r="3596" spans="2:6" x14ac:dyDescent="0.2">
      <c r="B3596" s="101" t="s">
        <v>64</v>
      </c>
      <c r="C3596" s="30" t="s">
        <v>406</v>
      </c>
      <c r="D3596" s="101">
        <v>550</v>
      </c>
      <c r="E3596" s="183"/>
      <c r="F3596" s="99">
        <v>7.4</v>
      </c>
    </row>
    <row r="3597" spans="2:6" x14ac:dyDescent="0.2">
      <c r="B3597" s="101" t="s">
        <v>64</v>
      </c>
      <c r="C3597" s="30" t="s">
        <v>406</v>
      </c>
      <c r="D3597" s="101">
        <v>560</v>
      </c>
      <c r="E3597" s="183"/>
      <c r="F3597" s="99">
        <v>6</v>
      </c>
    </row>
    <row r="3598" spans="2:6" x14ac:dyDescent="0.2">
      <c r="B3598" s="101" t="s">
        <v>64</v>
      </c>
      <c r="C3598" s="30" t="s">
        <v>406</v>
      </c>
      <c r="D3598" s="101">
        <v>560</v>
      </c>
      <c r="E3598" s="183"/>
      <c r="F3598" s="99">
        <v>3.38</v>
      </c>
    </row>
    <row r="3599" spans="2:6" x14ac:dyDescent="0.2">
      <c r="B3599" s="101" t="s">
        <v>64</v>
      </c>
      <c r="C3599" s="30" t="s">
        <v>406</v>
      </c>
      <c r="D3599" s="101">
        <v>580</v>
      </c>
      <c r="E3599" s="25"/>
      <c r="F3599" s="99">
        <v>6</v>
      </c>
    </row>
    <row r="3600" spans="2:6" x14ac:dyDescent="0.2">
      <c r="B3600" s="101" t="s">
        <v>64</v>
      </c>
      <c r="C3600" s="30" t="s">
        <v>406</v>
      </c>
      <c r="D3600" s="101">
        <v>580</v>
      </c>
      <c r="E3600" s="183"/>
      <c r="F3600" s="99">
        <v>6.2</v>
      </c>
    </row>
    <row r="3601" spans="2:6" x14ac:dyDescent="0.2">
      <c r="B3601" s="101" t="s">
        <v>64</v>
      </c>
      <c r="C3601" s="30" t="s">
        <v>406</v>
      </c>
      <c r="D3601" s="101">
        <v>600</v>
      </c>
      <c r="E3601" s="183"/>
      <c r="F3601" s="99">
        <v>6.01</v>
      </c>
    </row>
    <row r="3602" spans="2:6" x14ac:dyDescent="0.2">
      <c r="B3602" s="101" t="s">
        <v>64</v>
      </c>
      <c r="C3602" s="30" t="s">
        <v>406</v>
      </c>
      <c r="D3602" s="101" t="s">
        <v>2569</v>
      </c>
      <c r="E3602" s="183"/>
      <c r="F3602" s="99"/>
    </row>
    <row r="3603" spans="2:6" x14ac:dyDescent="0.2">
      <c r="B3603" s="101" t="s">
        <v>64</v>
      </c>
      <c r="C3603" s="30" t="s">
        <v>406</v>
      </c>
      <c r="D3603" s="101">
        <v>610</v>
      </c>
      <c r="E3603" s="183"/>
      <c r="F3603" s="99">
        <v>6.61</v>
      </c>
    </row>
    <row r="3604" spans="2:6" x14ac:dyDescent="0.2">
      <c r="B3604" s="101" t="s">
        <v>64</v>
      </c>
      <c r="C3604" s="30" t="s">
        <v>406</v>
      </c>
      <c r="D3604" s="101">
        <v>660</v>
      </c>
      <c r="E3604" s="183"/>
      <c r="F3604" s="99">
        <f>6.6+6.6</f>
        <v>13.2</v>
      </c>
    </row>
    <row r="3605" spans="2:6" x14ac:dyDescent="0.2">
      <c r="B3605" s="101" t="s">
        <v>64</v>
      </c>
      <c r="C3605" s="30" t="s">
        <v>406</v>
      </c>
      <c r="D3605" s="101" t="s">
        <v>2191</v>
      </c>
      <c r="E3605" s="183"/>
      <c r="F3605" s="99">
        <f>1.72+1.75</f>
        <v>3.4699999999999998</v>
      </c>
    </row>
    <row r="3606" spans="2:6" x14ac:dyDescent="0.2">
      <c r="B3606" s="101" t="s">
        <v>64</v>
      </c>
      <c r="C3606" s="30" t="s">
        <v>406</v>
      </c>
      <c r="D3606" s="101" t="s">
        <v>2191</v>
      </c>
      <c r="E3606" s="183"/>
      <c r="F3606" s="99">
        <v>1.82</v>
      </c>
    </row>
    <row r="3607" spans="2:6" x14ac:dyDescent="0.2">
      <c r="B3607" s="101" t="s">
        <v>64</v>
      </c>
      <c r="C3607" s="30" t="s">
        <v>406</v>
      </c>
      <c r="D3607" s="101" t="s">
        <v>2200</v>
      </c>
      <c r="E3607" s="183"/>
      <c r="F3607" s="99">
        <v>1.8</v>
      </c>
    </row>
    <row r="3608" spans="2:6" x14ac:dyDescent="0.2">
      <c r="B3608" s="101" t="s">
        <v>64</v>
      </c>
      <c r="C3608" s="30" t="s">
        <v>406</v>
      </c>
      <c r="D3608" s="101" t="s">
        <v>2224</v>
      </c>
      <c r="E3608" s="183"/>
      <c r="F3608" s="99">
        <v>2.0099999999999998</v>
      </c>
    </row>
    <row r="3609" spans="2:6" x14ac:dyDescent="0.2">
      <c r="B3609" s="101" t="s">
        <v>64</v>
      </c>
      <c r="C3609" s="30" t="s">
        <v>406</v>
      </c>
      <c r="D3609" s="101">
        <v>950</v>
      </c>
      <c r="E3609" s="183"/>
      <c r="F3609" s="99">
        <v>1.26</v>
      </c>
    </row>
    <row r="3610" spans="2:6" x14ac:dyDescent="0.2">
      <c r="B3610" s="101" t="s">
        <v>64</v>
      </c>
      <c r="C3610" s="30" t="s">
        <v>406</v>
      </c>
      <c r="D3610" s="101" t="s">
        <v>2309</v>
      </c>
      <c r="E3610" s="183"/>
      <c r="F3610" s="99">
        <f>6.9-2.34-2.26</f>
        <v>2.3000000000000007</v>
      </c>
    </row>
    <row r="3611" spans="2:6" x14ac:dyDescent="0.2">
      <c r="B3611" s="30" t="s">
        <v>64</v>
      </c>
      <c r="C3611" s="30" t="s">
        <v>408</v>
      </c>
      <c r="D3611" s="165" t="s">
        <v>1189</v>
      </c>
      <c r="E3611" s="101"/>
      <c r="F3611" s="34">
        <f>(1.914)</f>
        <v>1.9139999999999999</v>
      </c>
    </row>
    <row r="3612" spans="2:6" x14ac:dyDescent="0.2">
      <c r="B3612" s="101" t="s">
        <v>64</v>
      </c>
      <c r="C3612" s="30" t="s">
        <v>2008</v>
      </c>
      <c r="D3612" s="101" t="s">
        <v>2009</v>
      </c>
      <c r="E3612" s="183"/>
      <c r="F3612" s="99">
        <v>0.45</v>
      </c>
    </row>
    <row r="3613" spans="2:6" x14ac:dyDescent="0.2">
      <c r="B3613" s="30" t="s">
        <v>64</v>
      </c>
      <c r="C3613" s="30" t="s">
        <v>1199</v>
      </c>
      <c r="D3613" s="30" t="s">
        <v>570</v>
      </c>
      <c r="E3613" s="101"/>
      <c r="F3613" s="34">
        <f>(1.536)</f>
        <v>1.536</v>
      </c>
    </row>
    <row r="3614" spans="2:6" x14ac:dyDescent="0.2">
      <c r="B3614" s="101" t="s">
        <v>64</v>
      </c>
      <c r="C3614" s="30" t="s">
        <v>1604</v>
      </c>
      <c r="D3614" s="101">
        <v>1190</v>
      </c>
      <c r="E3614" s="183"/>
      <c r="F3614" s="99">
        <v>1.87</v>
      </c>
    </row>
    <row r="3615" spans="2:6" x14ac:dyDescent="0.2">
      <c r="B3615" s="101" t="s">
        <v>64</v>
      </c>
      <c r="C3615" s="30" t="s">
        <v>1929</v>
      </c>
      <c r="D3615" s="101" t="s">
        <v>1930</v>
      </c>
      <c r="E3615" s="183"/>
      <c r="F3615" s="99">
        <v>0.23</v>
      </c>
    </row>
    <row r="3616" spans="2:6" x14ac:dyDescent="0.2">
      <c r="B3616" s="101" t="s">
        <v>64</v>
      </c>
      <c r="C3616" s="30" t="s">
        <v>1846</v>
      </c>
      <c r="D3616" s="101" t="s">
        <v>2528</v>
      </c>
      <c r="E3616" s="183"/>
      <c r="F3616" s="99">
        <v>0.3</v>
      </c>
    </row>
    <row r="3617" spans="2:6" x14ac:dyDescent="0.2">
      <c r="B3617" s="101" t="s">
        <v>64</v>
      </c>
      <c r="C3617" s="30" t="s">
        <v>1846</v>
      </c>
      <c r="D3617" s="101" t="s">
        <v>2528</v>
      </c>
      <c r="E3617" s="183"/>
      <c r="F3617" s="99">
        <v>0.28000000000000003</v>
      </c>
    </row>
    <row r="3618" spans="2:6" x14ac:dyDescent="0.2">
      <c r="B3618" s="101" t="s">
        <v>64</v>
      </c>
      <c r="C3618" s="30" t="s">
        <v>1846</v>
      </c>
      <c r="D3618" s="101" t="s">
        <v>2540</v>
      </c>
      <c r="E3618" s="183"/>
      <c r="F3618" s="99">
        <v>0.38</v>
      </c>
    </row>
    <row r="3619" spans="2:6" x14ac:dyDescent="0.2">
      <c r="B3619" s="101" t="s">
        <v>64</v>
      </c>
      <c r="C3619" s="30" t="s">
        <v>1846</v>
      </c>
      <c r="D3619" s="101" t="s">
        <v>2586</v>
      </c>
      <c r="E3619" s="25"/>
      <c r="F3619" s="99">
        <v>0.92</v>
      </c>
    </row>
    <row r="3620" spans="2:6" x14ac:dyDescent="0.2">
      <c r="B3620" s="101" t="s">
        <v>64</v>
      </c>
      <c r="C3620" s="30" t="s">
        <v>1846</v>
      </c>
      <c r="D3620" s="101" t="s">
        <v>2586</v>
      </c>
      <c r="E3620" s="25"/>
      <c r="F3620" s="99">
        <v>1.08</v>
      </c>
    </row>
    <row r="3621" spans="2:6" x14ac:dyDescent="0.2">
      <c r="B3621" s="101" t="s">
        <v>64</v>
      </c>
      <c r="C3621" s="30" t="s">
        <v>1846</v>
      </c>
      <c r="D3621" s="101" t="s">
        <v>2591</v>
      </c>
      <c r="E3621" s="183"/>
      <c r="F3621" s="99">
        <v>1.23</v>
      </c>
    </row>
    <row r="3622" spans="2:6" x14ac:dyDescent="0.2">
      <c r="B3622" s="101" t="s">
        <v>64</v>
      </c>
      <c r="C3622" s="30" t="s">
        <v>1846</v>
      </c>
      <c r="D3622" s="101" t="s">
        <v>2591</v>
      </c>
      <c r="E3622" s="183"/>
      <c r="F3622" s="99">
        <v>0.96</v>
      </c>
    </row>
    <row r="3623" spans="2:6" x14ac:dyDescent="0.2">
      <c r="B3623" s="101" t="s">
        <v>64</v>
      </c>
      <c r="C3623" s="30" t="s">
        <v>1618</v>
      </c>
      <c r="D3623" s="101" t="s">
        <v>1963</v>
      </c>
      <c r="E3623" s="183"/>
      <c r="F3623" s="99">
        <f>54.74-0.285-0.6-0.3</f>
        <v>53.555000000000007</v>
      </c>
    </row>
    <row r="3624" spans="2:6" x14ac:dyDescent="0.2">
      <c r="B3624" s="101" t="s">
        <v>64</v>
      </c>
      <c r="C3624" s="30" t="s">
        <v>1618</v>
      </c>
      <c r="D3624" s="101" t="s">
        <v>2336</v>
      </c>
      <c r="E3624" s="183"/>
      <c r="F3624" s="99">
        <v>9.15</v>
      </c>
    </row>
    <row r="3625" spans="2:6" x14ac:dyDescent="0.2">
      <c r="B3625" s="78" t="s">
        <v>64</v>
      </c>
      <c r="C3625" s="174" t="s">
        <v>715</v>
      </c>
      <c r="D3625" s="2" t="s">
        <v>76</v>
      </c>
      <c r="E3625" s="77"/>
      <c r="F3625" s="39">
        <v>0.1</v>
      </c>
    </row>
    <row r="3626" spans="2:6" x14ac:dyDescent="0.2">
      <c r="B3626" s="101" t="s">
        <v>64</v>
      </c>
      <c r="C3626" s="30" t="s">
        <v>1774</v>
      </c>
      <c r="D3626" s="101" t="s">
        <v>1775</v>
      </c>
      <c r="E3626" s="183"/>
      <c r="F3626" s="99">
        <v>0.1</v>
      </c>
    </row>
    <row r="3627" spans="2:6" x14ac:dyDescent="0.2">
      <c r="B3627" s="101" t="s">
        <v>64</v>
      </c>
      <c r="C3627" s="30" t="s">
        <v>1774</v>
      </c>
      <c r="D3627" s="101" t="s">
        <v>1787</v>
      </c>
      <c r="E3627" s="183"/>
      <c r="F3627" s="99">
        <v>0.11</v>
      </c>
    </row>
    <row r="3628" spans="2:6" x14ac:dyDescent="0.2">
      <c r="B3628" s="30" t="s">
        <v>64</v>
      </c>
      <c r="C3628" s="30" t="s">
        <v>323</v>
      </c>
      <c r="D3628" s="30" t="s">
        <v>431</v>
      </c>
      <c r="E3628" s="101"/>
      <c r="F3628" s="99">
        <v>0.17399999999999999</v>
      </c>
    </row>
    <row r="3629" spans="2:6" x14ac:dyDescent="0.2">
      <c r="B3629" s="30" t="s">
        <v>64</v>
      </c>
      <c r="C3629" s="30" t="s">
        <v>323</v>
      </c>
      <c r="D3629" s="30" t="s">
        <v>432</v>
      </c>
      <c r="E3629" s="101" t="s">
        <v>633</v>
      </c>
      <c r="F3629" s="99">
        <f>0.995+1.67-0.476</f>
        <v>2.1890000000000001</v>
      </c>
    </row>
    <row r="3630" spans="2:6" x14ac:dyDescent="0.2">
      <c r="B3630" s="30" t="s">
        <v>64</v>
      </c>
      <c r="C3630" s="30" t="s">
        <v>323</v>
      </c>
      <c r="D3630" s="30" t="s">
        <v>433</v>
      </c>
      <c r="E3630" s="101"/>
      <c r="F3630" s="99">
        <f>(0.248)</f>
        <v>0.248</v>
      </c>
    </row>
    <row r="3631" spans="2:6" x14ac:dyDescent="0.2">
      <c r="B3631" s="30" t="s">
        <v>64</v>
      </c>
      <c r="C3631" s="30" t="s">
        <v>323</v>
      </c>
      <c r="D3631" s="30" t="s">
        <v>434</v>
      </c>
      <c r="E3631" s="101"/>
      <c r="F3631" s="34">
        <f>2.664-0.41-1.644-0.058</f>
        <v>0.55200000000000005</v>
      </c>
    </row>
    <row r="3632" spans="2:6" x14ac:dyDescent="0.2">
      <c r="B3632" s="30" t="s">
        <v>64</v>
      </c>
      <c r="C3632" s="30" t="s">
        <v>323</v>
      </c>
      <c r="D3632" s="30" t="s">
        <v>435</v>
      </c>
      <c r="E3632" s="101"/>
      <c r="F3632" s="34">
        <f>3.426-1.26-1.256-0.63</f>
        <v>0.28000000000000036</v>
      </c>
    </row>
    <row r="3633" spans="2:6" x14ac:dyDescent="0.2">
      <c r="B3633" s="30" t="s">
        <v>64</v>
      </c>
      <c r="C3633" s="30" t="s">
        <v>323</v>
      </c>
      <c r="D3633" s="30" t="s">
        <v>2614</v>
      </c>
      <c r="E3633" s="101">
        <v>0.66</v>
      </c>
      <c r="F3633" s="34">
        <f>6.562-0.646-0.6-0.244-(0.248)-0.204-1.638-1.53-0.184-(0.378)-(0.06)</f>
        <v>0.83000000000000118</v>
      </c>
    </row>
    <row r="3634" spans="2:6" x14ac:dyDescent="0.2">
      <c r="B3634" s="30" t="s">
        <v>64</v>
      </c>
      <c r="C3634" s="30" t="s">
        <v>323</v>
      </c>
      <c r="D3634" s="30" t="s">
        <v>436</v>
      </c>
      <c r="E3634" s="101"/>
      <c r="F3634" s="34">
        <f>2.822-1.21-0.472-0.41-0.25-0.286</f>
        <v>0.19400000000000023</v>
      </c>
    </row>
    <row r="3635" spans="2:6" x14ac:dyDescent="0.2">
      <c r="B3635" s="30" t="s">
        <v>64</v>
      </c>
      <c r="C3635" s="30" t="s">
        <v>323</v>
      </c>
      <c r="D3635" s="30" t="s">
        <v>437</v>
      </c>
      <c r="E3635" s="101"/>
      <c r="F3635" s="99">
        <v>0.13400000000000001</v>
      </c>
    </row>
    <row r="3636" spans="2:6" x14ac:dyDescent="0.2">
      <c r="B3636" s="30" t="s">
        <v>64</v>
      </c>
      <c r="C3636" s="30" t="s">
        <v>323</v>
      </c>
      <c r="D3636" s="30" t="s">
        <v>438</v>
      </c>
      <c r="E3636" s="101"/>
      <c r="F3636" s="99">
        <f>(0.496)</f>
        <v>0.496</v>
      </c>
    </row>
    <row r="3637" spans="2:6" x14ac:dyDescent="0.2">
      <c r="B3637" s="30" t="s">
        <v>64</v>
      </c>
      <c r="C3637" s="30" t="s">
        <v>686</v>
      </c>
      <c r="D3637" s="30" t="s">
        <v>439</v>
      </c>
      <c r="E3637" s="101"/>
      <c r="F3637" s="34">
        <f>5.47-0.744-(0.536)-0.58-(0.114)-1.504</f>
        <v>1.9919999999999995</v>
      </c>
    </row>
    <row r="3638" spans="2:6" x14ac:dyDescent="0.2">
      <c r="B3638" s="30" t="s">
        <v>64</v>
      </c>
      <c r="C3638" s="30" t="s">
        <v>686</v>
      </c>
      <c r="D3638" s="30" t="s">
        <v>440</v>
      </c>
      <c r="E3638" s="101"/>
      <c r="F3638" s="99">
        <v>3.95</v>
      </c>
    </row>
    <row r="3639" spans="2:6" x14ac:dyDescent="0.2">
      <c r="B3639" s="101" t="s">
        <v>64</v>
      </c>
      <c r="C3639" s="30" t="s">
        <v>686</v>
      </c>
      <c r="D3639" s="101">
        <v>360</v>
      </c>
      <c r="E3639" s="25"/>
      <c r="F3639" s="99">
        <v>4.4800000000000004</v>
      </c>
    </row>
    <row r="3640" spans="2:6" x14ac:dyDescent="0.2">
      <c r="B3640" s="30" t="s">
        <v>64</v>
      </c>
      <c r="C3640" s="30" t="s">
        <v>489</v>
      </c>
      <c r="D3640" s="30" t="s">
        <v>490</v>
      </c>
      <c r="E3640" s="101"/>
      <c r="F3640" s="99">
        <f>0.58-0.314</f>
        <v>0.26599999999999996</v>
      </c>
    </row>
    <row r="3641" spans="2:6" x14ac:dyDescent="0.2">
      <c r="B3641" s="101" t="s">
        <v>64</v>
      </c>
      <c r="C3641" s="30" t="s">
        <v>489</v>
      </c>
      <c r="D3641" s="101">
        <v>530</v>
      </c>
      <c r="E3641" s="183"/>
      <c r="F3641" s="99">
        <v>0.25</v>
      </c>
    </row>
    <row r="3642" spans="2:6" x14ac:dyDescent="0.2">
      <c r="B3642" s="101" t="s">
        <v>64</v>
      </c>
      <c r="C3642" s="30" t="s">
        <v>489</v>
      </c>
      <c r="D3642" s="101">
        <v>560</v>
      </c>
      <c r="E3642" s="183"/>
      <c r="F3642" s="99">
        <v>0.63</v>
      </c>
    </row>
    <row r="3643" spans="2:6" x14ac:dyDescent="0.2">
      <c r="B3643" s="101" t="s">
        <v>64</v>
      </c>
      <c r="C3643" s="30" t="s">
        <v>489</v>
      </c>
      <c r="D3643" s="101">
        <v>730</v>
      </c>
      <c r="E3643" s="183"/>
      <c r="F3643" s="99">
        <v>4.96</v>
      </c>
    </row>
    <row r="3644" spans="2:6" x14ac:dyDescent="0.2">
      <c r="B3644" s="101" t="s">
        <v>64</v>
      </c>
      <c r="C3644" s="30" t="s">
        <v>489</v>
      </c>
      <c r="D3644" s="101">
        <v>740</v>
      </c>
      <c r="E3644" s="183"/>
      <c r="F3644" s="99">
        <v>5.15</v>
      </c>
    </row>
    <row r="3645" spans="2:6" x14ac:dyDescent="0.2">
      <c r="B3645" s="30" t="s">
        <v>64</v>
      </c>
      <c r="C3645" s="30" t="s">
        <v>576</v>
      </c>
      <c r="D3645" s="30" t="s">
        <v>577</v>
      </c>
      <c r="E3645" s="101"/>
      <c r="F3645" s="99">
        <f>1.43-0.092-0.632</f>
        <v>0.70599999999999985</v>
      </c>
    </row>
    <row r="3646" spans="2:6" x14ac:dyDescent="0.2">
      <c r="B3646" s="78" t="s">
        <v>64</v>
      </c>
      <c r="C3646" s="174" t="s">
        <v>714</v>
      </c>
      <c r="D3646" s="2" t="s">
        <v>66</v>
      </c>
      <c r="E3646" s="77"/>
      <c r="F3646" s="39">
        <v>0.17499999999999999</v>
      </c>
    </row>
    <row r="3647" spans="2:6" x14ac:dyDescent="0.2">
      <c r="B3647" s="78" t="s">
        <v>64</v>
      </c>
      <c r="C3647" s="174" t="s">
        <v>714</v>
      </c>
      <c r="D3647" s="2" t="s">
        <v>69</v>
      </c>
      <c r="E3647" s="77"/>
      <c r="F3647" s="39">
        <v>1.18</v>
      </c>
    </row>
    <row r="3648" spans="2:6" x14ac:dyDescent="0.2">
      <c r="B3648" s="30" t="s">
        <v>64</v>
      </c>
      <c r="C3648" s="30" t="s">
        <v>467</v>
      </c>
      <c r="D3648" s="30" t="s">
        <v>468</v>
      </c>
      <c r="E3648" s="101"/>
      <c r="F3648" s="34">
        <f>1.41-0.498-(0.014)-0.898+(0.898)</f>
        <v>0.89799999999999991</v>
      </c>
    </row>
    <row r="3649" spans="2:6" x14ac:dyDescent="0.2">
      <c r="B3649" s="30" t="s">
        <v>64</v>
      </c>
      <c r="C3649" s="30" t="s">
        <v>467</v>
      </c>
      <c r="D3649" s="30" t="s">
        <v>472</v>
      </c>
      <c r="E3649" s="101"/>
      <c r="F3649" s="34">
        <f>1.534-0.27-0.072-0.708-0.484+(0.47)</f>
        <v>0.47</v>
      </c>
    </row>
    <row r="3650" spans="2:6" x14ac:dyDescent="0.2">
      <c r="B3650" s="30" t="s">
        <v>64</v>
      </c>
      <c r="C3650" s="30" t="s">
        <v>467</v>
      </c>
      <c r="D3650" s="30" t="s">
        <v>473</v>
      </c>
      <c r="E3650" s="101"/>
      <c r="F3650" s="34">
        <v>1.49</v>
      </c>
    </row>
    <row r="3651" spans="2:6" x14ac:dyDescent="0.2">
      <c r="B3651" s="30" t="s">
        <v>64</v>
      </c>
      <c r="C3651" s="30" t="s">
        <v>822</v>
      </c>
      <c r="D3651" s="165" t="s">
        <v>469</v>
      </c>
      <c r="E3651" s="101"/>
      <c r="F3651" s="34">
        <f>0.755-0.49</f>
        <v>0.26500000000000001</v>
      </c>
    </row>
    <row r="3652" spans="2:6" x14ac:dyDescent="0.2">
      <c r="B3652" s="30" t="s">
        <v>64</v>
      </c>
      <c r="C3652" s="30" t="s">
        <v>822</v>
      </c>
      <c r="D3652" s="165" t="s">
        <v>470</v>
      </c>
      <c r="E3652" s="101"/>
      <c r="F3652" s="34">
        <f>1.284-0.46-0.312</f>
        <v>0.51200000000000001</v>
      </c>
    </row>
    <row r="3653" spans="2:6" x14ac:dyDescent="0.2">
      <c r="B3653" s="78" t="s">
        <v>64</v>
      </c>
      <c r="C3653" s="174" t="s">
        <v>367</v>
      </c>
      <c r="D3653" s="2" t="s">
        <v>81</v>
      </c>
      <c r="E3653" s="77"/>
      <c r="F3653" s="39">
        <v>0.16500000000000001</v>
      </c>
    </row>
    <row r="3654" spans="2:6" x14ac:dyDescent="0.2">
      <c r="B3654" s="30" t="s">
        <v>64</v>
      </c>
      <c r="C3654" s="30" t="s">
        <v>367</v>
      </c>
      <c r="D3654" s="30" t="s">
        <v>441</v>
      </c>
      <c r="E3654" s="101"/>
      <c r="F3654" s="34">
        <f>(0.7)-0.14-0.138</f>
        <v>0.42199999999999993</v>
      </c>
    </row>
    <row r="3655" spans="2:6" x14ac:dyDescent="0.2">
      <c r="B3655" s="30" t="s">
        <v>64</v>
      </c>
      <c r="C3655" s="30" t="s">
        <v>367</v>
      </c>
      <c r="D3655" s="30" t="s">
        <v>1167</v>
      </c>
      <c r="E3655" s="101"/>
      <c r="F3655" s="34">
        <f>(0.1)</f>
        <v>0.1</v>
      </c>
    </row>
    <row r="3656" spans="2:6" x14ac:dyDescent="0.2">
      <c r="B3656" s="30" t="s">
        <v>64</v>
      </c>
      <c r="C3656" s="30" t="s">
        <v>367</v>
      </c>
      <c r="D3656" s="30" t="s">
        <v>442</v>
      </c>
      <c r="E3656" s="101"/>
      <c r="F3656" s="99">
        <v>7.5999999999999998E-2</v>
      </c>
    </row>
    <row r="3657" spans="2:6" x14ac:dyDescent="0.2">
      <c r="B3657" s="30" t="s">
        <v>64</v>
      </c>
      <c r="C3657" s="30" t="s">
        <v>367</v>
      </c>
      <c r="D3657" s="30" t="s">
        <v>1168</v>
      </c>
      <c r="E3657" s="101"/>
      <c r="F3657" s="99">
        <f>(0.284)-0.076</f>
        <v>0.20799999999999996</v>
      </c>
    </row>
    <row r="3658" spans="2:6" x14ac:dyDescent="0.2">
      <c r="B3658" s="30" t="s">
        <v>64</v>
      </c>
      <c r="C3658" s="30" t="s">
        <v>367</v>
      </c>
      <c r="D3658" s="30" t="s">
        <v>443</v>
      </c>
      <c r="E3658" s="101"/>
      <c r="F3658" s="99">
        <v>0.126</v>
      </c>
    </row>
    <row r="3659" spans="2:6" x14ac:dyDescent="0.2">
      <c r="B3659" s="30" t="s">
        <v>64</v>
      </c>
      <c r="C3659" s="30" t="s">
        <v>367</v>
      </c>
      <c r="D3659" s="30" t="s">
        <v>444</v>
      </c>
      <c r="E3659" s="101"/>
      <c r="F3659" s="99">
        <f>(0.266)</f>
        <v>0.26600000000000001</v>
      </c>
    </row>
    <row r="3660" spans="2:6" x14ac:dyDescent="0.2">
      <c r="B3660" s="30" t="s">
        <v>64</v>
      </c>
      <c r="C3660" s="30" t="s">
        <v>367</v>
      </c>
      <c r="D3660" s="30" t="s">
        <v>445</v>
      </c>
      <c r="E3660" s="101"/>
      <c r="F3660" s="99">
        <f>(0.104)</f>
        <v>0.104</v>
      </c>
    </row>
    <row r="3661" spans="2:6" x14ac:dyDescent="0.2">
      <c r="B3661" s="30" t="s">
        <v>64</v>
      </c>
      <c r="C3661" s="30" t="s">
        <v>367</v>
      </c>
      <c r="D3661" s="30" t="s">
        <v>446</v>
      </c>
      <c r="E3661" s="101"/>
      <c r="F3661" s="99">
        <v>0.21</v>
      </c>
    </row>
    <row r="3662" spans="2:6" x14ac:dyDescent="0.2">
      <c r="B3662" s="30" t="s">
        <v>64</v>
      </c>
      <c r="C3662" s="30" t="s">
        <v>367</v>
      </c>
      <c r="D3662" s="30" t="s">
        <v>447</v>
      </c>
      <c r="E3662" s="101"/>
      <c r="F3662" s="99">
        <f>(0.212)-0.106</f>
        <v>0.106</v>
      </c>
    </row>
    <row r="3663" spans="2:6" x14ac:dyDescent="0.2">
      <c r="B3663" s="30" t="s">
        <v>64</v>
      </c>
      <c r="C3663" s="30" t="s">
        <v>367</v>
      </c>
      <c r="D3663" s="30" t="s">
        <v>448</v>
      </c>
      <c r="E3663" s="101"/>
      <c r="F3663" s="99">
        <f>(0.416)-0.042</f>
        <v>0.374</v>
      </c>
    </row>
    <row r="3664" spans="2:6" x14ac:dyDescent="0.2">
      <c r="B3664" s="30" t="s">
        <v>64</v>
      </c>
      <c r="C3664" s="30" t="s">
        <v>367</v>
      </c>
      <c r="D3664" s="30" t="s">
        <v>449</v>
      </c>
      <c r="E3664" s="101"/>
      <c r="F3664" s="99">
        <v>0.54800000000000004</v>
      </c>
    </row>
    <row r="3665" spans="2:6" x14ac:dyDescent="0.2">
      <c r="B3665" s="30" t="s">
        <v>64</v>
      </c>
      <c r="C3665" s="30" t="s">
        <v>367</v>
      </c>
      <c r="D3665" s="30" t="s">
        <v>450</v>
      </c>
      <c r="E3665" s="101"/>
      <c r="F3665" s="34">
        <v>1.52</v>
      </c>
    </row>
    <row r="3666" spans="2:6" x14ac:dyDescent="0.2">
      <c r="B3666" s="30" t="s">
        <v>64</v>
      </c>
      <c r="C3666" s="30" t="s">
        <v>367</v>
      </c>
      <c r="D3666" s="30" t="s">
        <v>451</v>
      </c>
      <c r="E3666" s="101"/>
      <c r="F3666" s="34">
        <f>0.334-0.12</f>
        <v>0.21400000000000002</v>
      </c>
    </row>
    <row r="3667" spans="2:6" x14ac:dyDescent="0.2">
      <c r="B3667" s="30" t="s">
        <v>64</v>
      </c>
      <c r="C3667" s="30" t="s">
        <v>367</v>
      </c>
      <c r="D3667" s="30" t="s">
        <v>1169</v>
      </c>
      <c r="E3667" s="101"/>
      <c r="F3667" s="34">
        <f>(0.868)-0.384-(0.09)</f>
        <v>0.39400000000000002</v>
      </c>
    </row>
    <row r="3668" spans="2:6" x14ac:dyDescent="0.2">
      <c r="B3668" s="30" t="s">
        <v>64</v>
      </c>
      <c r="C3668" s="30" t="s">
        <v>367</v>
      </c>
      <c r="D3668" s="30" t="s">
        <v>452</v>
      </c>
      <c r="E3668" s="101"/>
      <c r="F3668" s="34">
        <f>(0.622)</f>
        <v>0.622</v>
      </c>
    </row>
    <row r="3669" spans="2:6" x14ac:dyDescent="0.2">
      <c r="B3669" s="30" t="s">
        <v>64</v>
      </c>
      <c r="C3669" s="30" t="s">
        <v>367</v>
      </c>
      <c r="D3669" s="30" t="s">
        <v>453</v>
      </c>
      <c r="E3669" s="101"/>
      <c r="F3669" s="34">
        <f>3.33-0.124-1.7-(0.214)-0.642-0.324</f>
        <v>0.32600000000000001</v>
      </c>
    </row>
    <row r="3670" spans="2:6" x14ac:dyDescent="0.2">
      <c r="B3670" s="30" t="s">
        <v>64</v>
      </c>
      <c r="C3670" s="30" t="s">
        <v>367</v>
      </c>
      <c r="D3670" s="30" t="s">
        <v>454</v>
      </c>
      <c r="E3670" s="101">
        <v>2.7</v>
      </c>
      <c r="F3670" s="34">
        <v>3.65</v>
      </c>
    </row>
    <row r="3671" spans="2:6" x14ac:dyDescent="0.2">
      <c r="B3671" s="30" t="s">
        <v>64</v>
      </c>
      <c r="C3671" s="30" t="s">
        <v>367</v>
      </c>
      <c r="D3671" s="30" t="s">
        <v>455</v>
      </c>
      <c r="E3671" s="101"/>
      <c r="F3671" s="34">
        <v>1.42</v>
      </c>
    </row>
    <row r="3672" spans="2:6" x14ac:dyDescent="0.2">
      <c r="B3672" s="30" t="s">
        <v>64</v>
      </c>
      <c r="C3672" s="30" t="s">
        <v>367</v>
      </c>
      <c r="D3672" s="30" t="s">
        <v>456</v>
      </c>
      <c r="E3672" s="101"/>
      <c r="F3672" s="34">
        <v>1.4339999999999999</v>
      </c>
    </row>
    <row r="3673" spans="2:6" x14ac:dyDescent="0.2">
      <c r="B3673" s="30" t="s">
        <v>64</v>
      </c>
      <c r="C3673" s="30" t="s">
        <v>367</v>
      </c>
      <c r="D3673" s="30" t="s">
        <v>457</v>
      </c>
      <c r="E3673" s="101"/>
      <c r="F3673" s="34">
        <f>4.69-1.192-0.09-0.146-2.282</f>
        <v>0.98000000000000043</v>
      </c>
    </row>
    <row r="3674" spans="2:6" x14ac:dyDescent="0.2">
      <c r="B3674" s="30" t="s">
        <v>64</v>
      </c>
      <c r="C3674" s="30" t="s">
        <v>367</v>
      </c>
      <c r="D3674" s="30" t="s">
        <v>458</v>
      </c>
      <c r="E3674" s="101"/>
      <c r="F3674" s="34">
        <f>5.306-4.144</f>
        <v>1.1619999999999999</v>
      </c>
    </row>
    <row r="3675" spans="2:6" x14ac:dyDescent="0.2">
      <c r="B3675" s="30" t="s">
        <v>64</v>
      </c>
      <c r="C3675" s="30" t="s">
        <v>367</v>
      </c>
      <c r="D3675" s="30" t="s">
        <v>459</v>
      </c>
      <c r="E3675" s="101">
        <v>2.1800000000000002</v>
      </c>
      <c r="F3675" s="34">
        <f>5.54-0.46-0.456</f>
        <v>4.6239999999999997</v>
      </c>
    </row>
    <row r="3676" spans="2:6" x14ac:dyDescent="0.2">
      <c r="B3676" s="30" t="s">
        <v>64</v>
      </c>
      <c r="C3676" s="30" t="s">
        <v>367</v>
      </c>
      <c r="D3676" s="30" t="s">
        <v>460</v>
      </c>
      <c r="E3676" s="101">
        <v>2.92</v>
      </c>
      <c r="F3676" s="34">
        <v>6.93</v>
      </c>
    </row>
    <row r="3677" spans="2:6" x14ac:dyDescent="0.2">
      <c r="B3677" s="30" t="s">
        <v>64</v>
      </c>
      <c r="C3677" s="30" t="s">
        <v>367</v>
      </c>
      <c r="D3677" s="30" t="s">
        <v>461</v>
      </c>
      <c r="E3677" s="101"/>
      <c r="F3677" s="34">
        <f>2.29-1.084-0.3-(0.538)-0.092</f>
        <v>0.27599999999999991</v>
      </c>
    </row>
    <row r="3678" spans="2:6" x14ac:dyDescent="0.2">
      <c r="B3678" s="30" t="s">
        <v>64</v>
      </c>
      <c r="C3678" s="30" t="s">
        <v>367</v>
      </c>
      <c r="D3678" s="30" t="s">
        <v>462</v>
      </c>
      <c r="E3678" s="101">
        <v>1.5</v>
      </c>
      <c r="F3678" s="34">
        <f>6.76-0.124-0.184-0.376-2.35</f>
        <v>3.7259999999999995</v>
      </c>
    </row>
    <row r="3679" spans="2:6" x14ac:dyDescent="0.2">
      <c r="B3679" s="30" t="s">
        <v>64</v>
      </c>
      <c r="C3679" s="30" t="s">
        <v>367</v>
      </c>
      <c r="D3679" s="30" t="s">
        <v>463</v>
      </c>
      <c r="E3679" s="101"/>
      <c r="F3679" s="34">
        <v>5.41</v>
      </c>
    </row>
    <row r="3680" spans="2:6" x14ac:dyDescent="0.2">
      <c r="B3680" s="30" t="s">
        <v>64</v>
      </c>
      <c r="C3680" s="30" t="s">
        <v>367</v>
      </c>
      <c r="D3680" s="30" t="s">
        <v>464</v>
      </c>
      <c r="E3680" s="101">
        <v>1.68</v>
      </c>
      <c r="F3680" s="34">
        <f>6.24-0.494</f>
        <v>5.7460000000000004</v>
      </c>
    </row>
    <row r="3681" spans="2:6" x14ac:dyDescent="0.2">
      <c r="B3681" s="30" t="s">
        <v>64</v>
      </c>
      <c r="C3681" s="30" t="s">
        <v>367</v>
      </c>
      <c r="D3681" s="30" t="s">
        <v>465</v>
      </c>
      <c r="E3681" s="101"/>
      <c r="F3681" s="34">
        <v>5.42</v>
      </c>
    </row>
    <row r="3682" spans="2:6" x14ac:dyDescent="0.2">
      <c r="B3682" s="101" t="s">
        <v>64</v>
      </c>
      <c r="C3682" s="30" t="s">
        <v>367</v>
      </c>
      <c r="D3682" s="101" t="s">
        <v>1783</v>
      </c>
      <c r="E3682" s="183"/>
      <c r="F3682" s="99">
        <v>0.05</v>
      </c>
    </row>
    <row r="3683" spans="2:6" x14ac:dyDescent="0.2">
      <c r="B3683" s="101" t="s">
        <v>64</v>
      </c>
      <c r="C3683" s="30" t="s">
        <v>367</v>
      </c>
      <c r="D3683" s="101">
        <v>380</v>
      </c>
      <c r="E3683" s="183"/>
      <c r="F3683" s="99">
        <f>0.55+5.52</f>
        <v>6.0699999999999994</v>
      </c>
    </row>
    <row r="3684" spans="2:6" x14ac:dyDescent="0.2">
      <c r="B3684" s="101" t="s">
        <v>64</v>
      </c>
      <c r="C3684" s="30" t="s">
        <v>367</v>
      </c>
      <c r="D3684" s="101">
        <v>390</v>
      </c>
      <c r="E3684" s="183"/>
      <c r="F3684" s="99">
        <v>1.67</v>
      </c>
    </row>
    <row r="3685" spans="2:6" x14ac:dyDescent="0.2">
      <c r="B3685" s="101" t="s">
        <v>64</v>
      </c>
      <c r="C3685" s="165" t="s">
        <v>367</v>
      </c>
      <c r="D3685" s="187">
        <v>400</v>
      </c>
      <c r="E3685" s="185"/>
      <c r="F3685" s="34">
        <v>5.7</v>
      </c>
    </row>
    <row r="3686" spans="2:6" x14ac:dyDescent="0.2">
      <c r="B3686" s="101" t="s">
        <v>64</v>
      </c>
      <c r="C3686" s="30" t="s">
        <v>367</v>
      </c>
      <c r="D3686" s="101">
        <v>400</v>
      </c>
      <c r="E3686" s="183"/>
      <c r="F3686" s="99">
        <f>0.22+5.48</f>
        <v>5.7</v>
      </c>
    </row>
    <row r="3687" spans="2:6" x14ac:dyDescent="0.2">
      <c r="B3687" s="101" t="s">
        <v>64</v>
      </c>
      <c r="C3687" s="30" t="s">
        <v>367</v>
      </c>
      <c r="D3687" s="101">
        <v>400</v>
      </c>
      <c r="E3687" s="183"/>
      <c r="F3687" s="99">
        <v>2.06</v>
      </c>
    </row>
    <row r="3688" spans="2:6" x14ac:dyDescent="0.2">
      <c r="B3688" s="101" t="s">
        <v>64</v>
      </c>
      <c r="C3688" s="30" t="s">
        <v>367</v>
      </c>
      <c r="D3688" s="101">
        <v>410</v>
      </c>
      <c r="E3688" s="183"/>
      <c r="F3688" s="99">
        <f>2.93+0.38</f>
        <v>3.31</v>
      </c>
    </row>
    <row r="3689" spans="2:6" x14ac:dyDescent="0.2">
      <c r="B3689" s="101" t="s">
        <v>64</v>
      </c>
      <c r="C3689" s="30" t="s">
        <v>367</v>
      </c>
      <c r="D3689" s="101">
        <v>420</v>
      </c>
      <c r="E3689" s="183"/>
      <c r="F3689" s="99">
        <f>5.51</f>
        <v>5.51</v>
      </c>
    </row>
    <row r="3690" spans="2:6" x14ac:dyDescent="0.2">
      <c r="B3690" s="101" t="s">
        <v>64</v>
      </c>
      <c r="C3690" s="30" t="s">
        <v>367</v>
      </c>
      <c r="D3690" s="101">
        <v>430</v>
      </c>
      <c r="E3690" s="183"/>
      <c r="F3690" s="99">
        <v>5.23</v>
      </c>
    </row>
    <row r="3691" spans="2:6" x14ac:dyDescent="0.2">
      <c r="B3691" s="101" t="s">
        <v>64</v>
      </c>
      <c r="C3691" s="30" t="s">
        <v>367</v>
      </c>
      <c r="D3691" s="101">
        <v>450</v>
      </c>
      <c r="E3691" s="183"/>
      <c r="F3691" s="99">
        <v>5.95</v>
      </c>
    </row>
    <row r="3692" spans="2:6" x14ac:dyDescent="0.2">
      <c r="B3692" s="101" t="s">
        <v>64</v>
      </c>
      <c r="C3692" s="30" t="s">
        <v>367</v>
      </c>
      <c r="D3692" s="101">
        <v>450</v>
      </c>
      <c r="E3692" s="25"/>
      <c r="F3692" s="99">
        <v>5.04</v>
      </c>
    </row>
    <row r="3693" spans="2:6" x14ac:dyDescent="0.2">
      <c r="B3693" s="101" t="s">
        <v>64</v>
      </c>
      <c r="C3693" s="30" t="s">
        <v>367</v>
      </c>
      <c r="D3693" s="101">
        <v>450</v>
      </c>
      <c r="E3693" s="183"/>
      <c r="F3693" s="99">
        <f>4.68+3.34</f>
        <v>8.02</v>
      </c>
    </row>
    <row r="3694" spans="2:6" x14ac:dyDescent="0.2">
      <c r="B3694" s="101" t="s">
        <v>64</v>
      </c>
      <c r="C3694" s="30" t="s">
        <v>367</v>
      </c>
      <c r="D3694" s="101">
        <v>450</v>
      </c>
      <c r="E3694" s="183"/>
      <c r="F3694" s="99">
        <v>0.13</v>
      </c>
    </row>
    <row r="3695" spans="2:6" x14ac:dyDescent="0.2">
      <c r="B3695" s="101" t="s">
        <v>64</v>
      </c>
      <c r="C3695" s="30" t="s">
        <v>367</v>
      </c>
      <c r="D3695" s="101">
        <v>460</v>
      </c>
      <c r="E3695" s="183"/>
      <c r="F3695" s="99">
        <v>3.29</v>
      </c>
    </row>
    <row r="3696" spans="2:6" x14ac:dyDescent="0.2">
      <c r="B3696" s="101" t="s">
        <v>64</v>
      </c>
      <c r="C3696" s="30" t="s">
        <v>367</v>
      </c>
      <c r="D3696" s="101">
        <v>470</v>
      </c>
      <c r="E3696" s="183"/>
      <c r="F3696" s="99">
        <v>4.12</v>
      </c>
    </row>
    <row r="3697" spans="2:6" x14ac:dyDescent="0.2">
      <c r="B3697" s="101" t="s">
        <v>64</v>
      </c>
      <c r="C3697" s="30" t="s">
        <v>367</v>
      </c>
      <c r="D3697" s="101">
        <v>480</v>
      </c>
      <c r="E3697" s="183"/>
      <c r="F3697" s="99">
        <v>6.78</v>
      </c>
    </row>
    <row r="3698" spans="2:6" x14ac:dyDescent="0.2">
      <c r="B3698" s="101" t="s">
        <v>64</v>
      </c>
      <c r="C3698" s="30" t="s">
        <v>367</v>
      </c>
      <c r="D3698" s="101">
        <v>480</v>
      </c>
      <c r="E3698" s="183"/>
      <c r="F3698" s="99">
        <v>5.86</v>
      </c>
    </row>
    <row r="3699" spans="2:6" x14ac:dyDescent="0.2">
      <c r="B3699" s="101" t="s">
        <v>64</v>
      </c>
      <c r="C3699" s="30" t="s">
        <v>367</v>
      </c>
      <c r="D3699" s="101" t="s">
        <v>1904</v>
      </c>
      <c r="E3699" s="183"/>
      <c r="F3699" s="99"/>
    </row>
    <row r="3700" spans="2:6" x14ac:dyDescent="0.2">
      <c r="B3700" s="101" t="s">
        <v>64</v>
      </c>
      <c r="C3700" s="30" t="s">
        <v>367</v>
      </c>
      <c r="D3700" s="101">
        <v>480</v>
      </c>
      <c r="E3700" s="183"/>
      <c r="F3700" s="99">
        <v>0.26</v>
      </c>
    </row>
    <row r="3701" spans="2:6" x14ac:dyDescent="0.2">
      <c r="B3701" s="101" t="s">
        <v>64</v>
      </c>
      <c r="C3701" s="30" t="s">
        <v>367</v>
      </c>
      <c r="D3701" s="101">
        <v>500</v>
      </c>
      <c r="E3701" s="183"/>
      <c r="F3701" s="99">
        <v>5.39</v>
      </c>
    </row>
    <row r="3702" spans="2:6" x14ac:dyDescent="0.2">
      <c r="B3702" s="101" t="s">
        <v>64</v>
      </c>
      <c r="C3702" s="30" t="s">
        <v>367</v>
      </c>
      <c r="D3702" s="101">
        <v>500</v>
      </c>
      <c r="E3702" s="183"/>
      <c r="F3702" s="99">
        <v>5.31</v>
      </c>
    </row>
    <row r="3703" spans="2:6" x14ac:dyDescent="0.2">
      <c r="B3703" s="101" t="s">
        <v>64</v>
      </c>
      <c r="C3703" s="30" t="s">
        <v>367</v>
      </c>
      <c r="D3703" s="101" t="s">
        <v>1917</v>
      </c>
      <c r="E3703" s="183"/>
      <c r="F3703" s="99"/>
    </row>
    <row r="3704" spans="2:6" x14ac:dyDescent="0.2">
      <c r="B3704" s="101" t="s">
        <v>64</v>
      </c>
      <c r="C3704" s="30" t="s">
        <v>367</v>
      </c>
      <c r="D3704" s="101">
        <v>540</v>
      </c>
      <c r="E3704" s="183"/>
      <c r="F3704" s="99">
        <v>5.32</v>
      </c>
    </row>
    <row r="3705" spans="2:6" x14ac:dyDescent="0.2">
      <c r="B3705" s="101" t="s">
        <v>64</v>
      </c>
      <c r="C3705" s="30" t="s">
        <v>367</v>
      </c>
      <c r="D3705" s="101">
        <v>550</v>
      </c>
      <c r="E3705" s="183"/>
      <c r="F3705" s="99">
        <v>8.44</v>
      </c>
    </row>
    <row r="3706" spans="2:6" x14ac:dyDescent="0.2">
      <c r="B3706" s="101" t="s">
        <v>64</v>
      </c>
      <c r="C3706" s="30" t="s">
        <v>367</v>
      </c>
      <c r="D3706" s="101">
        <v>550</v>
      </c>
      <c r="E3706" s="183"/>
      <c r="F3706" s="99">
        <v>5.66</v>
      </c>
    </row>
    <row r="3707" spans="2:6" x14ac:dyDescent="0.2">
      <c r="B3707" s="101" t="s">
        <v>64</v>
      </c>
      <c r="C3707" s="30" t="s">
        <v>367</v>
      </c>
      <c r="D3707" s="101">
        <v>550</v>
      </c>
      <c r="E3707" s="183"/>
      <c r="F3707" s="99">
        <f>0.85+0.74</f>
        <v>1.5899999999999999</v>
      </c>
    </row>
    <row r="3708" spans="2:6" x14ac:dyDescent="0.2">
      <c r="B3708" s="101" t="s">
        <v>64</v>
      </c>
      <c r="C3708" s="30" t="s">
        <v>367</v>
      </c>
      <c r="D3708" s="101">
        <v>570</v>
      </c>
      <c r="E3708" s="25"/>
      <c r="F3708" s="99">
        <v>9.23</v>
      </c>
    </row>
    <row r="3709" spans="2:6" x14ac:dyDescent="0.2">
      <c r="B3709" s="101" t="s">
        <v>64</v>
      </c>
      <c r="C3709" s="30" t="s">
        <v>367</v>
      </c>
      <c r="D3709" s="101">
        <v>580</v>
      </c>
      <c r="E3709" s="183"/>
      <c r="F3709" s="99">
        <v>8.2899999999999991</v>
      </c>
    </row>
    <row r="3710" spans="2:6" x14ac:dyDescent="0.2">
      <c r="B3710" s="101" t="s">
        <v>64</v>
      </c>
      <c r="C3710" s="30" t="s">
        <v>367</v>
      </c>
      <c r="D3710" s="101">
        <v>580</v>
      </c>
      <c r="E3710" s="183"/>
      <c r="F3710" s="99">
        <f>4.78+4.97</f>
        <v>9.75</v>
      </c>
    </row>
    <row r="3711" spans="2:6" x14ac:dyDescent="0.2">
      <c r="B3711" s="101" t="s">
        <v>64</v>
      </c>
      <c r="C3711" s="30" t="s">
        <v>367</v>
      </c>
      <c r="D3711" s="101">
        <v>580</v>
      </c>
      <c r="E3711" s="25"/>
      <c r="F3711" s="99">
        <v>0.46</v>
      </c>
    </row>
    <row r="3712" spans="2:6" x14ac:dyDescent="0.2">
      <c r="B3712" s="101" t="s">
        <v>64</v>
      </c>
      <c r="C3712" s="30" t="s">
        <v>367</v>
      </c>
      <c r="D3712" s="101">
        <v>580</v>
      </c>
      <c r="E3712" s="25"/>
      <c r="F3712" s="99">
        <v>0.36</v>
      </c>
    </row>
    <row r="3713" spans="2:6" x14ac:dyDescent="0.2">
      <c r="B3713" s="101" t="s">
        <v>64</v>
      </c>
      <c r="C3713" s="30" t="s">
        <v>367</v>
      </c>
      <c r="D3713" s="101" t="s">
        <v>1973</v>
      </c>
      <c r="E3713" s="183"/>
      <c r="F3713" s="99">
        <v>0.3</v>
      </c>
    </row>
    <row r="3714" spans="2:6" x14ac:dyDescent="0.2">
      <c r="B3714" s="101" t="s">
        <v>64</v>
      </c>
      <c r="C3714" s="30" t="s">
        <v>367</v>
      </c>
      <c r="D3714" s="101" t="s">
        <v>1969</v>
      </c>
      <c r="E3714" s="183"/>
      <c r="F3714" s="99">
        <v>0.3</v>
      </c>
    </row>
    <row r="3715" spans="2:6" x14ac:dyDescent="0.2">
      <c r="B3715" s="101" t="s">
        <v>64</v>
      </c>
      <c r="C3715" s="30" t="s">
        <v>367</v>
      </c>
      <c r="D3715" s="101" t="s">
        <v>1974</v>
      </c>
      <c r="E3715" s="183"/>
      <c r="F3715" s="99">
        <v>0.3</v>
      </c>
    </row>
    <row r="3716" spans="2:6" x14ac:dyDescent="0.2">
      <c r="B3716" s="101" t="s">
        <v>64</v>
      </c>
      <c r="C3716" s="30" t="s">
        <v>367</v>
      </c>
      <c r="D3716" s="101" t="s">
        <v>1980</v>
      </c>
      <c r="E3716" s="25"/>
      <c r="F3716" s="99">
        <v>0.3</v>
      </c>
    </row>
    <row r="3717" spans="2:6" x14ac:dyDescent="0.2">
      <c r="B3717" s="101" t="s">
        <v>64</v>
      </c>
      <c r="C3717" s="30" t="s">
        <v>367</v>
      </c>
      <c r="D3717" s="101">
        <v>600</v>
      </c>
      <c r="E3717" s="183"/>
      <c r="F3717" s="99">
        <f>7.25+3.52</f>
        <v>10.77</v>
      </c>
    </row>
    <row r="3718" spans="2:6" x14ac:dyDescent="0.2">
      <c r="B3718" s="101" t="s">
        <v>64</v>
      </c>
      <c r="C3718" s="30" t="s">
        <v>367</v>
      </c>
      <c r="D3718" s="101" t="s">
        <v>1995</v>
      </c>
      <c r="E3718" s="25"/>
      <c r="F3718" s="99">
        <v>3.97</v>
      </c>
    </row>
    <row r="3719" spans="2:6" x14ac:dyDescent="0.2">
      <c r="B3719" s="101" t="s">
        <v>64</v>
      </c>
      <c r="C3719" s="30" t="s">
        <v>367</v>
      </c>
      <c r="D3719" s="101">
        <v>600</v>
      </c>
      <c r="E3719" s="183"/>
      <c r="F3719" s="99">
        <v>0.26</v>
      </c>
    </row>
    <row r="3720" spans="2:6" x14ac:dyDescent="0.2">
      <c r="B3720" s="101" t="s">
        <v>64</v>
      </c>
      <c r="C3720" s="30" t="s">
        <v>367</v>
      </c>
      <c r="D3720" s="101" t="s">
        <v>1991</v>
      </c>
      <c r="E3720" s="183"/>
      <c r="F3720" s="99">
        <v>0.3</v>
      </c>
    </row>
    <row r="3721" spans="2:6" x14ac:dyDescent="0.2">
      <c r="B3721" s="101" t="s">
        <v>64</v>
      </c>
      <c r="C3721" s="30" t="s">
        <v>367</v>
      </c>
      <c r="D3721" s="101" t="s">
        <v>2015</v>
      </c>
      <c r="E3721" s="25"/>
      <c r="F3721" s="99">
        <v>0.24</v>
      </c>
    </row>
    <row r="3722" spans="2:6" x14ac:dyDescent="0.2">
      <c r="B3722" s="101" t="s">
        <v>64</v>
      </c>
      <c r="C3722" s="30" t="s">
        <v>367</v>
      </c>
      <c r="D3722" s="101">
        <v>640</v>
      </c>
      <c r="E3722" s="183"/>
      <c r="F3722" s="99">
        <v>8.1</v>
      </c>
    </row>
    <row r="3723" spans="2:6" x14ac:dyDescent="0.2">
      <c r="B3723" s="101" t="s">
        <v>64</v>
      </c>
      <c r="C3723" s="30" t="s">
        <v>367</v>
      </c>
      <c r="D3723" s="101">
        <v>640</v>
      </c>
      <c r="E3723" s="183"/>
      <c r="F3723" s="99">
        <v>3.1</v>
      </c>
    </row>
    <row r="3724" spans="2:6" x14ac:dyDescent="0.2">
      <c r="B3724" s="101" t="s">
        <v>64</v>
      </c>
      <c r="C3724" s="30" t="s">
        <v>367</v>
      </c>
      <c r="D3724" s="101" t="s">
        <v>2027</v>
      </c>
      <c r="E3724" s="183"/>
      <c r="F3724" s="99"/>
    </row>
    <row r="3725" spans="2:6" x14ac:dyDescent="0.2">
      <c r="B3725" s="101" t="s">
        <v>64</v>
      </c>
      <c r="C3725" s="30" t="s">
        <v>367</v>
      </c>
      <c r="D3725" s="101">
        <v>670</v>
      </c>
      <c r="E3725" s="183"/>
      <c r="F3725" s="99">
        <v>5.3</v>
      </c>
    </row>
    <row r="3726" spans="2:6" x14ac:dyDescent="0.2">
      <c r="B3726" s="101" t="s">
        <v>64</v>
      </c>
      <c r="C3726" s="30" t="s">
        <v>367</v>
      </c>
      <c r="D3726" s="101">
        <v>680</v>
      </c>
      <c r="E3726" s="25"/>
      <c r="F3726" s="99">
        <v>0.83</v>
      </c>
    </row>
    <row r="3727" spans="2:6" x14ac:dyDescent="0.2">
      <c r="B3727" s="101" t="s">
        <v>64</v>
      </c>
      <c r="C3727" s="30" t="s">
        <v>367</v>
      </c>
      <c r="D3727" s="101">
        <v>700</v>
      </c>
      <c r="E3727" s="183"/>
      <c r="F3727" s="99">
        <v>7.54</v>
      </c>
    </row>
    <row r="3728" spans="2:6" x14ac:dyDescent="0.2">
      <c r="B3728" s="101" t="s">
        <v>64</v>
      </c>
      <c r="C3728" s="30" t="s">
        <v>367</v>
      </c>
      <c r="D3728" s="101">
        <v>700</v>
      </c>
      <c r="E3728" s="183"/>
      <c r="F3728" s="99">
        <v>3.8</v>
      </c>
    </row>
    <row r="3729" spans="2:6" x14ac:dyDescent="0.2">
      <c r="B3729" s="101" t="s">
        <v>64</v>
      </c>
      <c r="C3729" s="30" t="s">
        <v>367</v>
      </c>
      <c r="D3729" s="101">
        <v>700</v>
      </c>
      <c r="E3729" s="183"/>
      <c r="F3729" s="99">
        <v>0.4</v>
      </c>
    </row>
    <row r="3730" spans="2:6" x14ac:dyDescent="0.2">
      <c r="B3730" s="101" t="s">
        <v>64</v>
      </c>
      <c r="C3730" s="30" t="s">
        <v>367</v>
      </c>
      <c r="D3730" s="101" t="s">
        <v>2071</v>
      </c>
      <c r="E3730" s="183"/>
      <c r="F3730" s="99">
        <v>0.94</v>
      </c>
    </row>
    <row r="3731" spans="2:6" x14ac:dyDescent="0.2">
      <c r="B3731" s="101" t="s">
        <v>64</v>
      </c>
      <c r="C3731" s="30" t="s">
        <v>367</v>
      </c>
      <c r="D3731" s="101">
        <v>750</v>
      </c>
      <c r="E3731" s="25"/>
      <c r="F3731" s="99">
        <v>8</v>
      </c>
    </row>
    <row r="3732" spans="2:6" x14ac:dyDescent="0.2">
      <c r="B3732" s="101" t="s">
        <v>64</v>
      </c>
      <c r="C3732" s="30" t="s">
        <v>367</v>
      </c>
      <c r="D3732" s="101">
        <v>760</v>
      </c>
      <c r="E3732" s="25"/>
      <c r="F3732" s="99">
        <v>6.01</v>
      </c>
    </row>
    <row r="3733" spans="2:6" x14ac:dyDescent="0.2">
      <c r="B3733" s="101" t="s">
        <v>64</v>
      </c>
      <c r="C3733" s="30" t="s">
        <v>367</v>
      </c>
      <c r="D3733" s="101">
        <v>770</v>
      </c>
      <c r="E3733" s="183"/>
      <c r="F3733" s="99">
        <v>0.94</v>
      </c>
    </row>
    <row r="3734" spans="2:6" x14ac:dyDescent="0.2">
      <c r="B3734" s="101" t="s">
        <v>64</v>
      </c>
      <c r="C3734" s="30" t="s">
        <v>367</v>
      </c>
      <c r="D3734" s="101">
        <v>780</v>
      </c>
      <c r="E3734" s="183"/>
      <c r="F3734" s="99">
        <v>2.44</v>
      </c>
    </row>
    <row r="3735" spans="2:6" x14ac:dyDescent="0.2">
      <c r="B3735" s="101" t="s">
        <v>64</v>
      </c>
      <c r="C3735" s="30" t="s">
        <v>367</v>
      </c>
      <c r="D3735" s="101">
        <v>800</v>
      </c>
      <c r="E3735" s="183"/>
      <c r="F3735" s="99">
        <v>8.1300000000000008</v>
      </c>
    </row>
    <row r="3736" spans="2:6" x14ac:dyDescent="0.2">
      <c r="B3736" s="101" t="s">
        <v>64</v>
      </c>
      <c r="C3736" s="30" t="s">
        <v>367</v>
      </c>
      <c r="D3736" s="101">
        <v>800</v>
      </c>
      <c r="E3736" s="183"/>
      <c r="F3736" s="99" t="s">
        <v>2126</v>
      </c>
    </row>
    <row r="3737" spans="2:6" x14ac:dyDescent="0.2">
      <c r="B3737" s="101" t="s">
        <v>64</v>
      </c>
      <c r="C3737" s="30" t="s">
        <v>367</v>
      </c>
      <c r="D3737" s="101">
        <v>850</v>
      </c>
      <c r="E3737" s="183"/>
      <c r="F3737" s="99">
        <v>7.9</v>
      </c>
    </row>
    <row r="3738" spans="2:6" x14ac:dyDescent="0.2">
      <c r="B3738" s="101" t="s">
        <v>64</v>
      </c>
      <c r="C3738" s="30" t="s">
        <v>367</v>
      </c>
      <c r="D3738" s="101" t="s">
        <v>2156</v>
      </c>
      <c r="E3738" s="183"/>
      <c r="F3738" s="99">
        <v>2.0499999999999998</v>
      </c>
    </row>
    <row r="3739" spans="2:6" x14ac:dyDescent="0.2">
      <c r="B3739" s="101" t="s">
        <v>64</v>
      </c>
      <c r="C3739" s="30" t="s">
        <v>367</v>
      </c>
      <c r="D3739" s="101" t="s">
        <v>2214</v>
      </c>
      <c r="E3739" s="183"/>
      <c r="F3739" s="99">
        <v>1.1499999999999999</v>
      </c>
    </row>
    <row r="3740" spans="2:6" x14ac:dyDescent="0.2">
      <c r="B3740" s="101" t="s">
        <v>64</v>
      </c>
      <c r="C3740" s="30" t="s">
        <v>367</v>
      </c>
      <c r="D3740" s="101" t="s">
        <v>2249</v>
      </c>
      <c r="E3740" s="183"/>
      <c r="F3740" s="99">
        <v>1.39</v>
      </c>
    </row>
    <row r="3741" spans="2:6" x14ac:dyDescent="0.2">
      <c r="B3741" s="101" t="s">
        <v>64</v>
      </c>
      <c r="C3741" s="30" t="s">
        <v>367</v>
      </c>
      <c r="D3741" s="101">
        <v>990</v>
      </c>
      <c r="E3741" s="183"/>
      <c r="F3741" s="99">
        <v>5.98</v>
      </c>
    </row>
    <row r="3742" spans="2:6" x14ac:dyDescent="0.2">
      <c r="B3742" s="101" t="s">
        <v>64</v>
      </c>
      <c r="C3742" s="30" t="s">
        <v>367</v>
      </c>
      <c r="D3742" s="101" t="s">
        <v>2299</v>
      </c>
      <c r="E3742" s="183"/>
      <c r="F3742" s="99">
        <v>5.26</v>
      </c>
    </row>
    <row r="3743" spans="2:6" x14ac:dyDescent="0.2">
      <c r="B3743" s="101" t="s">
        <v>64</v>
      </c>
      <c r="C3743" s="30" t="s">
        <v>367</v>
      </c>
      <c r="D3743" s="101" t="s">
        <v>2300</v>
      </c>
      <c r="E3743" s="183"/>
      <c r="F3743" s="99">
        <v>5.09</v>
      </c>
    </row>
    <row r="3744" spans="2:6" x14ac:dyDescent="0.2">
      <c r="B3744" s="101" t="s">
        <v>64</v>
      </c>
      <c r="C3744" s="30" t="s">
        <v>367</v>
      </c>
      <c r="D3744" s="101">
        <v>1150</v>
      </c>
      <c r="E3744" s="183"/>
      <c r="F3744" s="99"/>
    </row>
    <row r="3745" spans="2:6" x14ac:dyDescent="0.2">
      <c r="B3745" s="101" t="s">
        <v>64</v>
      </c>
      <c r="C3745" s="30" t="s">
        <v>367</v>
      </c>
      <c r="D3745" s="101" t="s">
        <v>2331</v>
      </c>
      <c r="E3745" s="183"/>
      <c r="F3745" s="99">
        <v>3.27</v>
      </c>
    </row>
    <row r="3746" spans="2:6" x14ac:dyDescent="0.2">
      <c r="B3746" s="101" t="s">
        <v>64</v>
      </c>
      <c r="C3746" s="30" t="s">
        <v>367</v>
      </c>
      <c r="D3746" s="101">
        <v>1200</v>
      </c>
      <c r="E3746" s="183"/>
      <c r="F3746" s="99">
        <v>31.29</v>
      </c>
    </row>
    <row r="3747" spans="2:6" x14ac:dyDescent="0.2">
      <c r="B3747" s="101" t="s">
        <v>64</v>
      </c>
      <c r="C3747" s="30" t="s">
        <v>367</v>
      </c>
      <c r="D3747" s="101" t="s">
        <v>2351</v>
      </c>
      <c r="E3747" s="183"/>
      <c r="F3747" s="99">
        <v>1.46</v>
      </c>
    </row>
    <row r="3748" spans="2:6" x14ac:dyDescent="0.2">
      <c r="B3748" s="101" t="s">
        <v>64</v>
      </c>
      <c r="C3748" s="30" t="s">
        <v>367</v>
      </c>
      <c r="D3748" s="101" t="s">
        <v>2354</v>
      </c>
      <c r="E3748" s="183"/>
      <c r="F3748" s="99">
        <v>3.81</v>
      </c>
    </row>
    <row r="3749" spans="2:6" x14ac:dyDescent="0.2">
      <c r="B3749" s="101" t="s">
        <v>64</v>
      </c>
      <c r="C3749" s="30" t="s">
        <v>367</v>
      </c>
      <c r="D3749" s="101" t="s">
        <v>2368</v>
      </c>
      <c r="E3749" s="183"/>
      <c r="F3749" s="99">
        <v>5.25</v>
      </c>
    </row>
    <row r="3750" spans="2:6" x14ac:dyDescent="0.2">
      <c r="B3750" s="101" t="s">
        <v>64</v>
      </c>
      <c r="C3750" s="30" t="s">
        <v>367</v>
      </c>
      <c r="D3750" s="101" t="s">
        <v>2373</v>
      </c>
      <c r="E3750" s="183"/>
      <c r="F3750" s="99">
        <v>2.27</v>
      </c>
    </row>
    <row r="3751" spans="2:6" x14ac:dyDescent="0.2">
      <c r="B3751" s="101" t="s">
        <v>64</v>
      </c>
      <c r="C3751" s="30" t="s">
        <v>367</v>
      </c>
      <c r="D3751" s="101" t="s">
        <v>2375</v>
      </c>
      <c r="E3751" s="183"/>
      <c r="F3751" s="99">
        <v>1.85</v>
      </c>
    </row>
    <row r="3752" spans="2:6" x14ac:dyDescent="0.2">
      <c r="B3752" s="101" t="s">
        <v>64</v>
      </c>
      <c r="C3752" s="30" t="s">
        <v>367</v>
      </c>
      <c r="D3752" s="101" t="s">
        <v>2376</v>
      </c>
      <c r="E3752" s="183"/>
      <c r="F3752" s="99">
        <v>2.25</v>
      </c>
    </row>
    <row r="3753" spans="2:6" x14ac:dyDescent="0.2">
      <c r="B3753" s="30" t="s">
        <v>64</v>
      </c>
      <c r="C3753" s="30" t="s">
        <v>368</v>
      </c>
      <c r="D3753" s="165" t="s">
        <v>466</v>
      </c>
      <c r="E3753" s="101"/>
      <c r="F3753" s="99">
        <v>0.59499999999999997</v>
      </c>
    </row>
    <row r="3754" spans="2:6" x14ac:dyDescent="0.2">
      <c r="B3754" s="30" t="s">
        <v>64</v>
      </c>
      <c r="C3754" s="30" t="s">
        <v>368</v>
      </c>
      <c r="D3754" s="165" t="s">
        <v>471</v>
      </c>
      <c r="E3754" s="101"/>
      <c r="F3754" s="34">
        <v>0.44500000000000001</v>
      </c>
    </row>
    <row r="3755" spans="2:6" x14ac:dyDescent="0.2">
      <c r="B3755" s="30" t="s">
        <v>64</v>
      </c>
      <c r="C3755" s="30" t="s">
        <v>409</v>
      </c>
      <c r="D3755" s="30" t="s">
        <v>491</v>
      </c>
      <c r="E3755" s="101"/>
      <c r="F3755" s="99">
        <v>0.378</v>
      </c>
    </row>
    <row r="3756" spans="2:6" x14ac:dyDescent="0.2">
      <c r="B3756" s="30" t="s">
        <v>64</v>
      </c>
      <c r="C3756" s="30" t="s">
        <v>409</v>
      </c>
      <c r="D3756" s="30" t="s">
        <v>497</v>
      </c>
      <c r="E3756" s="101"/>
      <c r="F3756" s="99">
        <f>2.885-1.596-0.214-0.218</f>
        <v>0.85699999999999976</v>
      </c>
    </row>
    <row r="3757" spans="2:6" x14ac:dyDescent="0.2">
      <c r="B3757" s="101" t="s">
        <v>64</v>
      </c>
      <c r="C3757" s="30" t="s">
        <v>409</v>
      </c>
      <c r="D3757" s="101">
        <v>390</v>
      </c>
      <c r="E3757" s="183"/>
      <c r="F3757" s="99">
        <v>0.45</v>
      </c>
    </row>
    <row r="3758" spans="2:6" x14ac:dyDescent="0.2">
      <c r="B3758" s="101" t="s">
        <v>64</v>
      </c>
      <c r="C3758" s="30" t="s">
        <v>409</v>
      </c>
      <c r="D3758" s="101">
        <v>400</v>
      </c>
      <c r="E3758" s="183"/>
      <c r="F3758" s="99">
        <v>0.92</v>
      </c>
    </row>
    <row r="3759" spans="2:6" x14ac:dyDescent="0.2">
      <c r="B3759" s="101" t="s">
        <v>64</v>
      </c>
      <c r="C3759" s="30" t="s">
        <v>1832</v>
      </c>
      <c r="D3759" s="101" t="s">
        <v>1833</v>
      </c>
      <c r="E3759" s="25"/>
      <c r="F3759" s="99">
        <v>1.97</v>
      </c>
    </row>
    <row r="3760" spans="2:6" x14ac:dyDescent="0.2">
      <c r="B3760" s="101" t="s">
        <v>64</v>
      </c>
      <c r="C3760" s="30" t="s">
        <v>708</v>
      </c>
      <c r="D3760" s="101" t="s">
        <v>1782</v>
      </c>
      <c r="E3760" s="183"/>
      <c r="F3760" s="99"/>
    </row>
    <row r="3761" spans="2:6" x14ac:dyDescent="0.2">
      <c r="B3761" s="101" t="s">
        <v>64</v>
      </c>
      <c r="C3761" s="30" t="s">
        <v>708</v>
      </c>
      <c r="D3761" s="101">
        <v>375</v>
      </c>
      <c r="E3761" s="183"/>
      <c r="F3761" s="99">
        <v>6.02</v>
      </c>
    </row>
    <row r="3762" spans="2:6" x14ac:dyDescent="0.2">
      <c r="B3762" s="101" t="s">
        <v>64</v>
      </c>
      <c r="C3762" s="30" t="s">
        <v>708</v>
      </c>
      <c r="D3762" s="101">
        <v>380</v>
      </c>
      <c r="E3762" s="183"/>
      <c r="F3762" s="99">
        <f>5.22+5.155</f>
        <v>10.375</v>
      </c>
    </row>
    <row r="3763" spans="2:6" x14ac:dyDescent="0.2">
      <c r="B3763" s="101" t="s">
        <v>64</v>
      </c>
      <c r="C3763" s="30" t="s">
        <v>708</v>
      </c>
      <c r="D3763" s="101">
        <v>380</v>
      </c>
      <c r="E3763" s="183"/>
      <c r="F3763" s="99">
        <v>1.47</v>
      </c>
    </row>
    <row r="3764" spans="2:6" x14ac:dyDescent="0.2">
      <c r="B3764" s="101" t="s">
        <v>64</v>
      </c>
      <c r="C3764" s="30" t="s">
        <v>708</v>
      </c>
      <c r="D3764" s="101">
        <v>400</v>
      </c>
      <c r="E3764" s="183"/>
      <c r="F3764" s="99">
        <f>4.79+4.14</f>
        <v>8.93</v>
      </c>
    </row>
    <row r="3765" spans="2:6" x14ac:dyDescent="0.2">
      <c r="B3765" s="101" t="s">
        <v>64</v>
      </c>
      <c r="C3765" s="30" t="s">
        <v>708</v>
      </c>
      <c r="D3765" s="101">
        <v>400</v>
      </c>
      <c r="E3765" s="183"/>
      <c r="F3765" s="99">
        <v>0.2</v>
      </c>
    </row>
    <row r="3766" spans="2:6" x14ac:dyDescent="0.2">
      <c r="B3766" s="101" t="s">
        <v>64</v>
      </c>
      <c r="C3766" s="30" t="s">
        <v>708</v>
      </c>
      <c r="D3766" s="101">
        <v>420</v>
      </c>
      <c r="E3766" s="25"/>
      <c r="F3766" s="99">
        <v>3.96</v>
      </c>
    </row>
    <row r="3767" spans="2:6" x14ac:dyDescent="0.2">
      <c r="B3767" s="101" t="s">
        <v>64</v>
      </c>
      <c r="C3767" s="30" t="s">
        <v>708</v>
      </c>
      <c r="D3767" s="101">
        <v>420</v>
      </c>
      <c r="E3767" s="25"/>
      <c r="F3767" s="99">
        <v>3.68</v>
      </c>
    </row>
    <row r="3768" spans="2:6" x14ac:dyDescent="0.2">
      <c r="B3768" s="101" t="s">
        <v>64</v>
      </c>
      <c r="C3768" s="30" t="s">
        <v>708</v>
      </c>
      <c r="D3768" s="101">
        <v>430</v>
      </c>
      <c r="E3768" s="183"/>
      <c r="F3768" s="99">
        <v>6.66</v>
      </c>
    </row>
    <row r="3769" spans="2:6" x14ac:dyDescent="0.2">
      <c r="B3769" s="101" t="s">
        <v>64</v>
      </c>
      <c r="C3769" s="30" t="s">
        <v>708</v>
      </c>
      <c r="D3769" s="101">
        <v>430</v>
      </c>
      <c r="E3769" s="183"/>
      <c r="F3769" s="99">
        <v>0.105</v>
      </c>
    </row>
    <row r="3770" spans="2:6" x14ac:dyDescent="0.2">
      <c r="B3770" s="101" t="s">
        <v>64</v>
      </c>
      <c r="C3770" s="30" t="s">
        <v>708</v>
      </c>
      <c r="D3770" s="101">
        <v>450</v>
      </c>
      <c r="E3770" s="183"/>
      <c r="F3770" s="99">
        <v>6.7</v>
      </c>
    </row>
    <row r="3771" spans="2:6" x14ac:dyDescent="0.2">
      <c r="B3771" s="101" t="s">
        <v>64</v>
      </c>
      <c r="C3771" s="30" t="s">
        <v>708</v>
      </c>
      <c r="D3771" s="101">
        <v>450</v>
      </c>
      <c r="E3771" s="183"/>
      <c r="F3771" s="99">
        <v>5.56</v>
      </c>
    </row>
    <row r="3772" spans="2:6" x14ac:dyDescent="0.2">
      <c r="B3772" s="101" t="s">
        <v>64</v>
      </c>
      <c r="C3772" s="30" t="s">
        <v>708</v>
      </c>
      <c r="D3772" s="101">
        <v>450</v>
      </c>
      <c r="E3772" s="183"/>
      <c r="F3772" s="99">
        <v>0.05</v>
      </c>
    </row>
    <row r="3773" spans="2:6" x14ac:dyDescent="0.2">
      <c r="B3773" s="101" t="s">
        <v>64</v>
      </c>
      <c r="C3773" s="30" t="s">
        <v>708</v>
      </c>
      <c r="D3773" s="101">
        <v>460</v>
      </c>
      <c r="E3773" s="183"/>
      <c r="F3773" s="99">
        <f>6.9+4.56</f>
        <v>11.46</v>
      </c>
    </row>
    <row r="3774" spans="2:6" x14ac:dyDescent="0.2">
      <c r="B3774" s="101" t="s">
        <v>64</v>
      </c>
      <c r="C3774" s="30" t="s">
        <v>708</v>
      </c>
      <c r="D3774" s="101">
        <v>460</v>
      </c>
      <c r="E3774" s="25"/>
      <c r="F3774" s="99">
        <f>4.96</f>
        <v>4.96</v>
      </c>
    </row>
    <row r="3775" spans="2:6" x14ac:dyDescent="0.2">
      <c r="B3775" s="101" t="s">
        <v>64</v>
      </c>
      <c r="C3775" s="30" t="s">
        <v>708</v>
      </c>
      <c r="D3775" s="101">
        <v>460</v>
      </c>
      <c r="E3775" s="25"/>
      <c r="F3775" s="99">
        <v>0.13</v>
      </c>
    </row>
    <row r="3776" spans="2:6" x14ac:dyDescent="0.2">
      <c r="B3776" s="101" t="s">
        <v>64</v>
      </c>
      <c r="C3776" s="30" t="s">
        <v>708</v>
      </c>
      <c r="D3776" s="101">
        <v>465</v>
      </c>
      <c r="E3776" s="25"/>
      <c r="F3776" s="99">
        <v>3.91</v>
      </c>
    </row>
    <row r="3777" spans="2:6" x14ac:dyDescent="0.2">
      <c r="B3777" s="101" t="s">
        <v>64</v>
      </c>
      <c r="C3777" s="30" t="s">
        <v>708</v>
      </c>
      <c r="D3777" s="101">
        <v>470</v>
      </c>
      <c r="E3777" s="183"/>
      <c r="F3777" s="99">
        <v>7.33</v>
      </c>
    </row>
    <row r="3778" spans="2:6" x14ac:dyDescent="0.2">
      <c r="B3778" s="101" t="s">
        <v>64</v>
      </c>
      <c r="C3778" s="30" t="s">
        <v>708</v>
      </c>
      <c r="D3778" s="101">
        <v>470</v>
      </c>
      <c r="E3778" s="183"/>
      <c r="F3778" s="99">
        <v>6.58</v>
      </c>
    </row>
    <row r="3779" spans="2:6" x14ac:dyDescent="0.2">
      <c r="B3779" s="101" t="s">
        <v>64</v>
      </c>
      <c r="C3779" s="30" t="s">
        <v>708</v>
      </c>
      <c r="D3779" s="101">
        <v>470</v>
      </c>
      <c r="E3779" s="183"/>
      <c r="F3779" s="99">
        <v>2.1800000000000002</v>
      </c>
    </row>
    <row r="3780" spans="2:6" x14ac:dyDescent="0.2">
      <c r="B3780" s="101" t="s">
        <v>64</v>
      </c>
      <c r="C3780" s="30" t="s">
        <v>708</v>
      </c>
      <c r="D3780" s="101">
        <v>480</v>
      </c>
      <c r="E3780" s="183"/>
      <c r="F3780" s="99">
        <v>13.38</v>
      </c>
    </row>
    <row r="3781" spans="2:6" x14ac:dyDescent="0.2">
      <c r="B3781" s="101" t="s">
        <v>64</v>
      </c>
      <c r="C3781" s="30" t="s">
        <v>708</v>
      </c>
      <c r="D3781" s="101">
        <v>480</v>
      </c>
      <c r="E3781" s="183"/>
      <c r="F3781" s="99">
        <v>0.08</v>
      </c>
    </row>
    <row r="3782" spans="2:6" x14ac:dyDescent="0.2">
      <c r="B3782" s="101" t="s">
        <v>64</v>
      </c>
      <c r="C3782" s="30" t="s">
        <v>708</v>
      </c>
      <c r="D3782" s="101">
        <v>500</v>
      </c>
      <c r="E3782" s="183"/>
      <c r="F3782" s="99">
        <f>6.93+6.535</f>
        <v>13.465</v>
      </c>
    </row>
    <row r="3783" spans="2:6" x14ac:dyDescent="0.2">
      <c r="B3783" s="101" t="s">
        <v>64</v>
      </c>
      <c r="C3783" s="30" t="s">
        <v>708</v>
      </c>
      <c r="D3783" s="101">
        <v>500</v>
      </c>
      <c r="E3783" s="183"/>
      <c r="F3783" s="99">
        <v>6.67</v>
      </c>
    </row>
    <row r="3784" spans="2:6" x14ac:dyDescent="0.2">
      <c r="B3784" s="101" t="s">
        <v>64</v>
      </c>
      <c r="C3784" s="30" t="s">
        <v>708</v>
      </c>
      <c r="D3784" s="101">
        <v>500</v>
      </c>
      <c r="E3784" s="183"/>
      <c r="F3784" s="99">
        <v>3.88</v>
      </c>
    </row>
    <row r="3785" spans="2:6" x14ac:dyDescent="0.2">
      <c r="B3785" s="101" t="s">
        <v>64</v>
      </c>
      <c r="C3785" s="30" t="s">
        <v>708</v>
      </c>
      <c r="D3785" s="101">
        <v>500</v>
      </c>
      <c r="E3785" s="183"/>
      <c r="F3785" s="99">
        <v>1.27</v>
      </c>
    </row>
    <row r="3786" spans="2:6" x14ac:dyDescent="0.2">
      <c r="B3786" s="101" t="s">
        <v>64</v>
      </c>
      <c r="C3786" s="30" t="s">
        <v>708</v>
      </c>
      <c r="D3786" s="101">
        <v>510</v>
      </c>
      <c r="E3786" s="183"/>
      <c r="F3786" s="99">
        <f>6.63+5.12</f>
        <v>11.75</v>
      </c>
    </row>
    <row r="3787" spans="2:6" x14ac:dyDescent="0.2">
      <c r="B3787" s="101" t="s">
        <v>64</v>
      </c>
      <c r="C3787" s="30" t="s">
        <v>708</v>
      </c>
      <c r="D3787" s="101">
        <v>520</v>
      </c>
      <c r="E3787" s="183"/>
      <c r="F3787" s="99">
        <v>4.9000000000000004</v>
      </c>
    </row>
    <row r="3788" spans="2:6" x14ac:dyDescent="0.2">
      <c r="B3788" s="101" t="s">
        <v>64</v>
      </c>
      <c r="C3788" s="30" t="s">
        <v>708</v>
      </c>
      <c r="D3788" s="101">
        <v>520</v>
      </c>
      <c r="E3788" s="183"/>
      <c r="F3788" s="99">
        <v>0.27</v>
      </c>
    </row>
    <row r="3789" spans="2:6" x14ac:dyDescent="0.2">
      <c r="B3789" s="101" t="s">
        <v>64</v>
      </c>
      <c r="C3789" s="30" t="s">
        <v>708</v>
      </c>
      <c r="D3789" s="101">
        <v>540</v>
      </c>
      <c r="E3789" s="183"/>
      <c r="F3789" s="99">
        <v>4.97</v>
      </c>
    </row>
    <row r="3790" spans="2:6" x14ac:dyDescent="0.2">
      <c r="B3790" s="101" t="s">
        <v>64</v>
      </c>
      <c r="C3790" s="30" t="s">
        <v>708</v>
      </c>
      <c r="D3790" s="101">
        <v>550</v>
      </c>
      <c r="E3790" s="183"/>
      <c r="F3790" s="99">
        <v>5.3</v>
      </c>
    </row>
    <row r="3791" spans="2:6" x14ac:dyDescent="0.2">
      <c r="B3791" s="101" t="s">
        <v>64</v>
      </c>
      <c r="C3791" s="30" t="s">
        <v>708</v>
      </c>
      <c r="D3791" s="101" t="s">
        <v>1950</v>
      </c>
      <c r="E3791" s="183"/>
      <c r="F3791" s="99"/>
    </row>
    <row r="3792" spans="2:6" x14ac:dyDescent="0.2">
      <c r="B3792" s="101" t="s">
        <v>64</v>
      </c>
      <c r="C3792" s="30" t="s">
        <v>708</v>
      </c>
      <c r="D3792" s="101">
        <v>550</v>
      </c>
      <c r="E3792" s="183"/>
      <c r="F3792" s="99">
        <v>0.14000000000000001</v>
      </c>
    </row>
    <row r="3793" spans="2:6" x14ac:dyDescent="0.2">
      <c r="B3793" s="101" t="s">
        <v>64</v>
      </c>
      <c r="C3793" s="30" t="s">
        <v>708</v>
      </c>
      <c r="D3793" s="101">
        <v>560</v>
      </c>
      <c r="E3793" s="183"/>
      <c r="F3793" s="99">
        <f>4.28</f>
        <v>4.28</v>
      </c>
    </row>
    <row r="3794" spans="2:6" x14ac:dyDescent="0.2">
      <c r="B3794" s="101" t="s">
        <v>64</v>
      </c>
      <c r="C3794" s="30" t="s">
        <v>708</v>
      </c>
      <c r="D3794" s="101">
        <v>570</v>
      </c>
      <c r="E3794" s="25"/>
      <c r="F3794" s="99">
        <f>6.92+7.53</f>
        <v>14.45</v>
      </c>
    </row>
    <row r="3795" spans="2:6" x14ac:dyDescent="0.2">
      <c r="B3795" s="101" t="s">
        <v>64</v>
      </c>
      <c r="C3795" s="30" t="s">
        <v>708</v>
      </c>
      <c r="D3795" s="101">
        <v>570</v>
      </c>
      <c r="E3795" s="25"/>
      <c r="F3795" s="99">
        <v>6.69</v>
      </c>
    </row>
    <row r="3796" spans="2:6" x14ac:dyDescent="0.2">
      <c r="B3796" s="101" t="s">
        <v>64</v>
      </c>
      <c r="C3796" s="30" t="s">
        <v>708</v>
      </c>
      <c r="D3796" s="101">
        <v>580</v>
      </c>
      <c r="E3796" s="25"/>
      <c r="F3796" s="99">
        <v>6.75</v>
      </c>
    </row>
    <row r="3797" spans="2:6" x14ac:dyDescent="0.2">
      <c r="B3797" s="101" t="s">
        <v>64</v>
      </c>
      <c r="C3797" s="30" t="s">
        <v>708</v>
      </c>
      <c r="D3797" s="101">
        <v>580</v>
      </c>
      <c r="E3797" s="25"/>
      <c r="F3797" s="99">
        <v>2.46</v>
      </c>
    </row>
    <row r="3798" spans="2:6" x14ac:dyDescent="0.2">
      <c r="B3798" s="101" t="s">
        <v>64</v>
      </c>
      <c r="C3798" s="30" t="s">
        <v>708</v>
      </c>
      <c r="D3798" s="101" t="s">
        <v>1972</v>
      </c>
      <c r="E3798" s="25"/>
      <c r="F3798" s="99">
        <v>0.44</v>
      </c>
    </row>
    <row r="3799" spans="2:6" x14ac:dyDescent="0.2">
      <c r="B3799" s="101" t="s">
        <v>64</v>
      </c>
      <c r="C3799" s="30" t="s">
        <v>708</v>
      </c>
      <c r="D3799" s="101">
        <v>600</v>
      </c>
      <c r="E3799" s="183"/>
      <c r="F3799" s="99">
        <v>6.87</v>
      </c>
    </row>
    <row r="3800" spans="2:6" x14ac:dyDescent="0.2">
      <c r="B3800" s="101" t="s">
        <v>64</v>
      </c>
      <c r="C3800" s="30" t="s">
        <v>708</v>
      </c>
      <c r="D3800" s="101">
        <v>600</v>
      </c>
      <c r="E3800" s="183"/>
      <c r="F3800" s="99">
        <v>3.46</v>
      </c>
    </row>
    <row r="3801" spans="2:6" x14ac:dyDescent="0.2">
      <c r="B3801" s="101" t="s">
        <v>64</v>
      </c>
      <c r="C3801" s="30" t="s">
        <v>708</v>
      </c>
      <c r="D3801" s="101" t="s">
        <v>1994</v>
      </c>
      <c r="E3801" s="183"/>
      <c r="F3801" s="99">
        <v>0.69</v>
      </c>
    </row>
    <row r="3802" spans="2:6" x14ac:dyDescent="0.2">
      <c r="B3802" s="101" t="s">
        <v>64</v>
      </c>
      <c r="C3802" s="30" t="s">
        <v>708</v>
      </c>
      <c r="D3802" s="101" t="s">
        <v>1998</v>
      </c>
      <c r="E3802" s="183"/>
      <c r="F3802" s="99">
        <f>0.69+0.69</f>
        <v>1.38</v>
      </c>
    </row>
    <row r="3803" spans="2:6" x14ac:dyDescent="0.2">
      <c r="B3803" s="101" t="s">
        <v>64</v>
      </c>
      <c r="C3803" s="30" t="s">
        <v>708</v>
      </c>
      <c r="D3803" s="101" t="s">
        <v>1999</v>
      </c>
      <c r="E3803" s="183"/>
      <c r="F3803" s="99">
        <v>0.72499999999999998</v>
      </c>
    </row>
    <row r="3804" spans="2:6" x14ac:dyDescent="0.2">
      <c r="B3804" s="101" t="s">
        <v>64</v>
      </c>
      <c r="C3804" s="30" t="s">
        <v>708</v>
      </c>
      <c r="D3804" s="101">
        <v>620</v>
      </c>
      <c r="E3804" s="183"/>
      <c r="F3804" s="99">
        <v>7.16</v>
      </c>
    </row>
    <row r="3805" spans="2:6" x14ac:dyDescent="0.2">
      <c r="B3805" s="101" t="s">
        <v>64</v>
      </c>
      <c r="C3805" s="30" t="s">
        <v>708</v>
      </c>
      <c r="D3805" s="101" t="s">
        <v>2004</v>
      </c>
      <c r="E3805" s="183"/>
      <c r="F3805" s="99">
        <v>0.72499999999999998</v>
      </c>
    </row>
    <row r="3806" spans="2:6" x14ac:dyDescent="0.2">
      <c r="B3806" s="101" t="s">
        <v>64</v>
      </c>
      <c r="C3806" s="30" t="s">
        <v>708</v>
      </c>
      <c r="D3806" s="101">
        <v>630</v>
      </c>
      <c r="E3806" s="183"/>
      <c r="F3806" s="99">
        <v>1.04</v>
      </c>
    </row>
    <row r="3807" spans="2:6" x14ac:dyDescent="0.2">
      <c r="B3807" s="101" t="s">
        <v>64</v>
      </c>
      <c r="C3807" s="30" t="s">
        <v>708</v>
      </c>
      <c r="D3807" s="101">
        <v>650</v>
      </c>
      <c r="E3807" s="183"/>
      <c r="F3807" s="99">
        <v>6.27</v>
      </c>
    </row>
    <row r="3808" spans="2:6" x14ac:dyDescent="0.2">
      <c r="B3808" s="101" t="s">
        <v>64</v>
      </c>
      <c r="C3808" s="30" t="s">
        <v>708</v>
      </c>
      <c r="D3808" s="101">
        <v>650</v>
      </c>
      <c r="E3808" s="183"/>
      <c r="F3808" s="99">
        <v>5.85</v>
      </c>
    </row>
    <row r="3809" spans="2:6" x14ac:dyDescent="0.2">
      <c r="B3809" s="101" t="s">
        <v>64</v>
      </c>
      <c r="C3809" s="30" t="s">
        <v>708</v>
      </c>
      <c r="D3809" s="101">
        <v>650</v>
      </c>
      <c r="E3809" s="183"/>
      <c r="F3809" s="99">
        <f>4.84+6.81</f>
        <v>11.649999999999999</v>
      </c>
    </row>
    <row r="3810" spans="2:6" x14ac:dyDescent="0.2">
      <c r="B3810" s="101" t="s">
        <v>64</v>
      </c>
      <c r="C3810" s="30" t="s">
        <v>708</v>
      </c>
      <c r="D3810" s="101" t="s">
        <v>2580</v>
      </c>
      <c r="E3810" s="183"/>
      <c r="F3810" s="99">
        <v>0.53</v>
      </c>
    </row>
    <row r="3811" spans="2:6" x14ac:dyDescent="0.2">
      <c r="B3811" s="101" t="s">
        <v>64</v>
      </c>
      <c r="C3811" s="30" t="s">
        <v>708</v>
      </c>
      <c r="D3811" s="101" t="s">
        <v>2049</v>
      </c>
      <c r="E3811" s="183"/>
      <c r="F3811" s="99">
        <v>2.25</v>
      </c>
    </row>
    <row r="3812" spans="2:6" x14ac:dyDescent="0.2">
      <c r="B3812" s="101" t="s">
        <v>64</v>
      </c>
      <c r="C3812" s="30" t="s">
        <v>708</v>
      </c>
      <c r="D3812" s="101">
        <v>670</v>
      </c>
      <c r="E3812" s="183"/>
      <c r="F3812" s="99">
        <v>0.59</v>
      </c>
    </row>
    <row r="3813" spans="2:6" x14ac:dyDescent="0.2">
      <c r="B3813" s="101" t="s">
        <v>64</v>
      </c>
      <c r="C3813" s="30" t="s">
        <v>708</v>
      </c>
      <c r="D3813" s="101">
        <v>680</v>
      </c>
      <c r="E3813" s="183"/>
      <c r="F3813" s="99">
        <v>6.33</v>
      </c>
    </row>
    <row r="3814" spans="2:6" x14ac:dyDescent="0.2">
      <c r="B3814" s="101" t="s">
        <v>64</v>
      </c>
      <c r="C3814" s="30" t="s">
        <v>708</v>
      </c>
      <c r="D3814" s="101">
        <v>700</v>
      </c>
      <c r="E3814" s="183"/>
      <c r="F3814" s="99">
        <f>7.65+7.48+7.14</f>
        <v>22.27</v>
      </c>
    </row>
    <row r="3815" spans="2:6" x14ac:dyDescent="0.2">
      <c r="B3815" s="101" t="s">
        <v>64</v>
      </c>
      <c r="C3815" s="30" t="s">
        <v>708</v>
      </c>
      <c r="D3815" s="101">
        <v>700</v>
      </c>
      <c r="E3815" s="183"/>
      <c r="F3815" s="99">
        <v>7.18</v>
      </c>
    </row>
    <row r="3816" spans="2:6" x14ac:dyDescent="0.2">
      <c r="B3816" s="101" t="s">
        <v>64</v>
      </c>
      <c r="C3816" s="30" t="s">
        <v>708</v>
      </c>
      <c r="D3816" s="101" t="s">
        <v>2067</v>
      </c>
      <c r="E3816" s="183"/>
      <c r="F3816" s="99">
        <v>0.67</v>
      </c>
    </row>
    <row r="3817" spans="2:6" x14ac:dyDescent="0.2">
      <c r="B3817" s="101" t="s">
        <v>64</v>
      </c>
      <c r="C3817" s="30" t="s">
        <v>708</v>
      </c>
      <c r="D3817" s="101" t="s">
        <v>2077</v>
      </c>
      <c r="E3817" s="183"/>
      <c r="F3817" s="99">
        <v>0.55500000000000005</v>
      </c>
    </row>
    <row r="3818" spans="2:6" x14ac:dyDescent="0.2">
      <c r="B3818" s="101" t="s">
        <v>64</v>
      </c>
      <c r="C3818" s="30" t="s">
        <v>708</v>
      </c>
      <c r="D3818" s="101">
        <v>720</v>
      </c>
      <c r="E3818" s="183"/>
      <c r="F3818" s="99">
        <f>5.85+7</f>
        <v>12.85</v>
      </c>
    </row>
    <row r="3819" spans="2:6" x14ac:dyDescent="0.2">
      <c r="B3819" s="101" t="s">
        <v>64</v>
      </c>
      <c r="C3819" s="30" t="s">
        <v>708</v>
      </c>
      <c r="D3819" s="101">
        <v>750</v>
      </c>
      <c r="E3819" s="25"/>
      <c r="F3819" s="99">
        <v>8.15</v>
      </c>
    </row>
    <row r="3820" spans="2:6" x14ac:dyDescent="0.2">
      <c r="B3820" s="101" t="s">
        <v>64</v>
      </c>
      <c r="C3820" s="30" t="s">
        <v>708</v>
      </c>
      <c r="D3820" s="101">
        <v>750</v>
      </c>
      <c r="E3820" s="25"/>
      <c r="F3820" s="99">
        <v>3.65</v>
      </c>
    </row>
    <row r="3821" spans="2:6" x14ac:dyDescent="0.2">
      <c r="B3821" s="101" t="s">
        <v>64</v>
      </c>
      <c r="C3821" s="30" t="s">
        <v>708</v>
      </c>
      <c r="D3821" s="101">
        <v>770</v>
      </c>
      <c r="E3821" s="25"/>
      <c r="F3821" s="99">
        <v>8.1999999999999993</v>
      </c>
    </row>
    <row r="3822" spans="2:6" x14ac:dyDescent="0.2">
      <c r="B3822" s="101" t="s">
        <v>64</v>
      </c>
      <c r="C3822" s="30" t="s">
        <v>708</v>
      </c>
      <c r="D3822" s="101">
        <v>780</v>
      </c>
      <c r="E3822" s="183"/>
      <c r="F3822" s="99">
        <v>7.15</v>
      </c>
    </row>
    <row r="3823" spans="2:6" x14ac:dyDescent="0.2">
      <c r="B3823" s="101" t="s">
        <v>64</v>
      </c>
      <c r="C3823" s="30" t="s">
        <v>708</v>
      </c>
      <c r="D3823" s="101">
        <v>780</v>
      </c>
      <c r="E3823" s="183"/>
      <c r="F3823" s="99">
        <v>0.17499999999999999</v>
      </c>
    </row>
    <row r="3824" spans="2:6" x14ac:dyDescent="0.2">
      <c r="B3824" s="101" t="s">
        <v>64</v>
      </c>
      <c r="C3824" s="30" t="s">
        <v>708</v>
      </c>
      <c r="D3824" s="101">
        <v>800</v>
      </c>
      <c r="E3824" s="183"/>
      <c r="F3824" s="99">
        <v>6.36</v>
      </c>
    </row>
    <row r="3825" spans="2:6" x14ac:dyDescent="0.2">
      <c r="B3825" s="101" t="s">
        <v>64</v>
      </c>
      <c r="C3825" s="30" t="s">
        <v>708</v>
      </c>
      <c r="D3825" s="101">
        <v>800</v>
      </c>
      <c r="E3825" s="183"/>
      <c r="F3825" s="99">
        <v>0.8</v>
      </c>
    </row>
    <row r="3826" spans="2:6" x14ac:dyDescent="0.2">
      <c r="B3826" s="101" t="s">
        <v>64</v>
      </c>
      <c r="C3826" s="30" t="s">
        <v>708</v>
      </c>
      <c r="D3826" s="101" t="s">
        <v>2125</v>
      </c>
      <c r="E3826" s="183"/>
      <c r="F3826" s="99">
        <v>0.6</v>
      </c>
    </row>
    <row r="3827" spans="2:6" x14ac:dyDescent="0.2">
      <c r="B3827" s="101" t="s">
        <v>64</v>
      </c>
      <c r="C3827" s="30" t="s">
        <v>708</v>
      </c>
      <c r="D3827" s="101">
        <v>820</v>
      </c>
      <c r="E3827" s="183"/>
      <c r="F3827" s="99">
        <v>7.52</v>
      </c>
    </row>
    <row r="3828" spans="2:6" x14ac:dyDescent="0.2">
      <c r="B3828" s="101" t="s">
        <v>64</v>
      </c>
      <c r="C3828" s="30" t="s">
        <v>708</v>
      </c>
      <c r="D3828" s="101">
        <v>820</v>
      </c>
      <c r="E3828" s="183"/>
      <c r="F3828" s="99">
        <v>6.6</v>
      </c>
    </row>
    <row r="3829" spans="2:6" x14ac:dyDescent="0.2">
      <c r="B3829" s="101" t="s">
        <v>64</v>
      </c>
      <c r="C3829" s="30" t="s">
        <v>708</v>
      </c>
      <c r="D3829" s="101">
        <v>820</v>
      </c>
      <c r="E3829" s="183"/>
      <c r="F3829" s="99">
        <f>6.12+6.05</f>
        <v>12.17</v>
      </c>
    </row>
    <row r="3830" spans="2:6" x14ac:dyDescent="0.2">
      <c r="B3830" s="101" t="s">
        <v>64</v>
      </c>
      <c r="C3830" s="30" t="s">
        <v>708</v>
      </c>
      <c r="D3830" s="101">
        <v>860</v>
      </c>
      <c r="E3830" s="183"/>
      <c r="F3830" s="99">
        <v>11.86</v>
      </c>
    </row>
    <row r="3831" spans="2:6" x14ac:dyDescent="0.2">
      <c r="B3831" s="101" t="s">
        <v>64</v>
      </c>
      <c r="C3831" s="30" t="s">
        <v>708</v>
      </c>
      <c r="D3831" s="101" t="s">
        <v>2164</v>
      </c>
      <c r="E3831" s="183"/>
      <c r="F3831" s="99">
        <v>9.57</v>
      </c>
    </row>
    <row r="3832" spans="2:6" x14ac:dyDescent="0.2">
      <c r="B3832" s="101" t="s">
        <v>64</v>
      </c>
      <c r="C3832" s="30" t="s">
        <v>708</v>
      </c>
      <c r="D3832" s="101" t="s">
        <v>2165</v>
      </c>
      <c r="E3832" s="183"/>
      <c r="F3832" s="99">
        <v>0.76</v>
      </c>
    </row>
    <row r="3833" spans="2:6" x14ac:dyDescent="0.2">
      <c r="B3833" s="101" t="s">
        <v>64</v>
      </c>
      <c r="C3833" s="30" t="s">
        <v>708</v>
      </c>
      <c r="D3833" s="101">
        <v>890</v>
      </c>
      <c r="E3833" s="183"/>
      <c r="F3833" s="99">
        <v>8.1999999999999993</v>
      </c>
    </row>
    <row r="3834" spans="2:6" x14ac:dyDescent="0.2">
      <c r="B3834" s="101" t="s">
        <v>64</v>
      </c>
      <c r="C3834" s="30" t="s">
        <v>708</v>
      </c>
      <c r="D3834" s="101" t="s">
        <v>2173</v>
      </c>
      <c r="E3834" s="183"/>
      <c r="F3834" s="99">
        <v>2.54</v>
      </c>
    </row>
    <row r="3835" spans="2:6" x14ac:dyDescent="0.2">
      <c r="B3835" s="101" t="s">
        <v>64</v>
      </c>
      <c r="C3835" s="30" t="s">
        <v>708</v>
      </c>
      <c r="D3835" s="101">
        <v>910</v>
      </c>
      <c r="E3835" s="183"/>
      <c r="F3835" s="99">
        <v>13.88</v>
      </c>
    </row>
    <row r="3836" spans="2:6" x14ac:dyDescent="0.2">
      <c r="B3836" s="101" t="s">
        <v>64</v>
      </c>
      <c r="C3836" s="30" t="s">
        <v>708</v>
      </c>
      <c r="D3836" s="101" t="s">
        <v>2248</v>
      </c>
      <c r="E3836" s="183"/>
      <c r="F3836" s="99">
        <v>1.24</v>
      </c>
    </row>
    <row r="3837" spans="2:6" x14ac:dyDescent="0.2">
      <c r="B3837" s="101" t="s">
        <v>64</v>
      </c>
      <c r="C3837" s="30" t="s">
        <v>708</v>
      </c>
      <c r="D3837" s="101" t="s">
        <v>2597</v>
      </c>
      <c r="E3837" s="183"/>
      <c r="F3837" s="99">
        <v>10.58</v>
      </c>
    </row>
    <row r="3838" spans="2:6" x14ac:dyDescent="0.2">
      <c r="B3838" s="101" t="s">
        <v>64</v>
      </c>
      <c r="C3838" s="30" t="s">
        <v>708</v>
      </c>
      <c r="D3838" s="101">
        <v>1100</v>
      </c>
      <c r="E3838" s="183"/>
      <c r="F3838" s="99">
        <v>4.47</v>
      </c>
    </row>
    <row r="3839" spans="2:6" x14ac:dyDescent="0.2">
      <c r="B3839" s="101" t="s">
        <v>64</v>
      </c>
      <c r="C3839" s="30" t="s">
        <v>708</v>
      </c>
      <c r="D3839" s="101">
        <v>1100</v>
      </c>
      <c r="E3839" s="183"/>
      <c r="F3839" s="99">
        <v>10.220000000000001</v>
      </c>
    </row>
    <row r="3840" spans="2:6" x14ac:dyDescent="0.2">
      <c r="B3840" s="101" t="s">
        <v>64</v>
      </c>
      <c r="C3840" s="30" t="s">
        <v>708</v>
      </c>
      <c r="D3840" s="101">
        <v>1100</v>
      </c>
      <c r="E3840" s="183"/>
      <c r="F3840" s="99">
        <f>2.5+2.4</f>
        <v>4.9000000000000004</v>
      </c>
    </row>
    <row r="3841" spans="2:6" x14ac:dyDescent="0.2">
      <c r="B3841" s="101" t="s">
        <v>64</v>
      </c>
      <c r="C3841" s="30" t="s">
        <v>1848</v>
      </c>
      <c r="D3841" s="101" t="s">
        <v>2529</v>
      </c>
      <c r="E3841" s="183"/>
      <c r="F3841" s="99">
        <v>6</v>
      </c>
    </row>
    <row r="3842" spans="2:6" x14ac:dyDescent="0.2">
      <c r="B3842" s="30" t="s">
        <v>64</v>
      </c>
      <c r="C3842" s="30" t="s">
        <v>498</v>
      </c>
      <c r="D3842" s="30" t="s">
        <v>499</v>
      </c>
      <c r="E3842" s="101"/>
      <c r="F3842" s="99">
        <f>3.454-1.706-0.746-0.57-0.09</f>
        <v>0.3420000000000003</v>
      </c>
    </row>
    <row r="3843" spans="2:6" x14ac:dyDescent="0.2">
      <c r="B3843" s="101" t="s">
        <v>64</v>
      </c>
      <c r="C3843" s="30" t="s">
        <v>2000</v>
      </c>
      <c r="D3843" s="101" t="s">
        <v>2001</v>
      </c>
      <c r="E3843" s="183"/>
      <c r="F3843" s="99">
        <v>1</v>
      </c>
    </row>
    <row r="3844" spans="2:6" x14ac:dyDescent="0.2">
      <c r="B3844" s="101" t="s">
        <v>64</v>
      </c>
      <c r="C3844" s="30" t="s">
        <v>2000</v>
      </c>
      <c r="D3844" s="101" t="s">
        <v>1998</v>
      </c>
      <c r="E3844" s="183"/>
      <c r="F3844" s="99">
        <v>0.86</v>
      </c>
    </row>
    <row r="3845" spans="2:6" x14ac:dyDescent="0.2">
      <c r="B3845" s="101" t="s">
        <v>64</v>
      </c>
      <c r="C3845" s="30" t="s">
        <v>371</v>
      </c>
      <c r="D3845" s="101" t="s">
        <v>2506</v>
      </c>
      <c r="E3845" s="25"/>
      <c r="F3845" s="99">
        <v>7.0000000000000007E-2</v>
      </c>
    </row>
    <row r="3846" spans="2:6" x14ac:dyDescent="0.2">
      <c r="B3846" s="101" t="s">
        <v>64</v>
      </c>
      <c r="C3846" s="30" t="s">
        <v>371</v>
      </c>
      <c r="D3846" s="101" t="s">
        <v>1955</v>
      </c>
      <c r="E3846" s="183"/>
      <c r="F3846" s="99"/>
    </row>
    <row r="3847" spans="2:6" x14ac:dyDescent="0.2">
      <c r="B3847" s="101" t="s">
        <v>64</v>
      </c>
      <c r="C3847" s="30" t="s">
        <v>1857</v>
      </c>
      <c r="D3847" s="101" t="s">
        <v>2531</v>
      </c>
      <c r="E3847" s="183"/>
      <c r="F3847" s="99">
        <v>0.34</v>
      </c>
    </row>
    <row r="3848" spans="2:6" x14ac:dyDescent="0.2">
      <c r="B3848" s="101" t="s">
        <v>64</v>
      </c>
      <c r="C3848" s="30" t="s">
        <v>1857</v>
      </c>
      <c r="D3848" s="101" t="s">
        <v>2576</v>
      </c>
      <c r="E3848" s="25"/>
      <c r="F3848" s="99">
        <v>0.74</v>
      </c>
    </row>
    <row r="3849" spans="2:6" x14ac:dyDescent="0.2">
      <c r="B3849" s="101" t="s">
        <v>64</v>
      </c>
      <c r="C3849" s="30" t="s">
        <v>373</v>
      </c>
      <c r="D3849" s="101" t="s">
        <v>2535</v>
      </c>
      <c r="E3849" s="183"/>
      <c r="F3849" s="99"/>
    </row>
    <row r="3850" spans="2:6" x14ac:dyDescent="0.2">
      <c r="B3850" s="101" t="s">
        <v>64</v>
      </c>
      <c r="C3850" s="30" t="s">
        <v>373</v>
      </c>
      <c r="D3850" s="101" t="s">
        <v>1945</v>
      </c>
      <c r="E3850" s="183"/>
      <c r="F3850" s="99"/>
    </row>
    <row r="3851" spans="2:6" x14ac:dyDescent="0.2">
      <c r="B3851" s="101" t="s">
        <v>64</v>
      </c>
      <c r="C3851" s="30" t="s">
        <v>373</v>
      </c>
      <c r="D3851" s="101" t="s">
        <v>2564</v>
      </c>
      <c r="E3851" s="183"/>
      <c r="F3851" s="99">
        <v>3.23</v>
      </c>
    </row>
    <row r="3852" spans="2:6" x14ac:dyDescent="0.2">
      <c r="B3852" s="101" t="s">
        <v>64</v>
      </c>
      <c r="C3852" s="30" t="s">
        <v>373</v>
      </c>
      <c r="D3852" s="101">
        <v>630</v>
      </c>
      <c r="E3852" s="183"/>
      <c r="F3852" s="99">
        <v>5.6</v>
      </c>
    </row>
    <row r="3853" spans="2:6" x14ac:dyDescent="0.2">
      <c r="B3853" s="101" t="s">
        <v>64</v>
      </c>
      <c r="C3853" s="30" t="s">
        <v>2014</v>
      </c>
      <c r="D3853" s="101" t="s">
        <v>2574</v>
      </c>
      <c r="E3853" s="183"/>
      <c r="F3853" s="99">
        <v>0.18</v>
      </c>
    </row>
    <row r="3854" spans="2:6" x14ac:dyDescent="0.2">
      <c r="B3854" s="101" t="s">
        <v>64</v>
      </c>
      <c r="C3854" s="30" t="s">
        <v>373</v>
      </c>
      <c r="D3854" s="101" t="s">
        <v>2587</v>
      </c>
      <c r="E3854" s="183"/>
      <c r="F3854" s="99">
        <v>3.23</v>
      </c>
    </row>
    <row r="3855" spans="2:6" x14ac:dyDescent="0.2">
      <c r="B3855" s="101" t="s">
        <v>64</v>
      </c>
      <c r="C3855" s="30" t="s">
        <v>1810</v>
      </c>
      <c r="D3855" s="101" t="s">
        <v>2514</v>
      </c>
      <c r="E3855" s="183"/>
      <c r="F3855" s="99"/>
    </row>
    <row r="3856" spans="2:6" x14ac:dyDescent="0.2">
      <c r="B3856" s="30" t="s">
        <v>64</v>
      </c>
      <c r="C3856" s="30" t="s">
        <v>375</v>
      </c>
      <c r="D3856" s="30" t="s">
        <v>474</v>
      </c>
      <c r="E3856" s="101"/>
      <c r="F3856" s="99">
        <f>1.56+1.542-0.295-0.532-0.07-1.542</f>
        <v>0.66300000000000048</v>
      </c>
    </row>
    <row r="3857" spans="2:6" x14ac:dyDescent="0.2">
      <c r="B3857" s="101" t="s">
        <v>64</v>
      </c>
      <c r="C3857" s="30" t="s">
        <v>375</v>
      </c>
      <c r="D3857" s="101" t="s">
        <v>2511</v>
      </c>
      <c r="E3857" s="183"/>
      <c r="F3857" s="99">
        <v>0.15</v>
      </c>
    </row>
    <row r="3858" spans="2:6" x14ac:dyDescent="0.2">
      <c r="B3858" s="101" t="s">
        <v>64</v>
      </c>
      <c r="C3858" s="30" t="s">
        <v>375</v>
      </c>
      <c r="D3858" s="101" t="s">
        <v>1823</v>
      </c>
      <c r="E3858" s="183"/>
      <c r="F3858" s="99"/>
    </row>
    <row r="3859" spans="2:6" x14ac:dyDescent="0.2">
      <c r="B3859" s="101" t="s">
        <v>64</v>
      </c>
      <c r="C3859" s="30" t="s">
        <v>375</v>
      </c>
      <c r="D3859" s="101">
        <v>415</v>
      </c>
      <c r="E3859" s="183"/>
      <c r="F3859" s="99">
        <v>0.18</v>
      </c>
    </row>
    <row r="3860" spans="2:6" x14ac:dyDescent="0.2">
      <c r="B3860" s="101" t="s">
        <v>64</v>
      </c>
      <c r="C3860" s="30" t="s">
        <v>375</v>
      </c>
      <c r="D3860" s="101">
        <v>440</v>
      </c>
      <c r="E3860" s="183"/>
      <c r="F3860" s="99">
        <v>0.28000000000000003</v>
      </c>
    </row>
    <row r="3861" spans="2:6" x14ac:dyDescent="0.2">
      <c r="B3861" s="101" t="s">
        <v>64</v>
      </c>
      <c r="C3861" s="30" t="s">
        <v>375</v>
      </c>
      <c r="D3861" s="101">
        <v>475</v>
      </c>
      <c r="E3861" s="183"/>
      <c r="F3861" s="99">
        <v>0.16</v>
      </c>
    </row>
    <row r="3862" spans="2:6" x14ac:dyDescent="0.2">
      <c r="B3862" s="101" t="s">
        <v>64</v>
      </c>
      <c r="C3862" s="30" t="s">
        <v>375</v>
      </c>
      <c r="D3862" s="101" t="s">
        <v>1910</v>
      </c>
      <c r="E3862" s="183"/>
      <c r="F3862" s="99"/>
    </row>
    <row r="3863" spans="2:6" x14ac:dyDescent="0.2">
      <c r="B3863" s="101" t="s">
        <v>64</v>
      </c>
      <c r="C3863" s="30" t="s">
        <v>375</v>
      </c>
      <c r="D3863" s="101" t="s">
        <v>2560</v>
      </c>
      <c r="E3863" s="25"/>
      <c r="F3863" s="99"/>
    </row>
    <row r="3864" spans="2:6" x14ac:dyDescent="0.2">
      <c r="B3864" s="101" t="s">
        <v>64</v>
      </c>
      <c r="C3864" s="30" t="s">
        <v>375</v>
      </c>
      <c r="D3864" s="101">
        <v>610</v>
      </c>
      <c r="E3864" s="183"/>
      <c r="F3864" s="99">
        <v>0.52</v>
      </c>
    </row>
    <row r="3865" spans="2:6" x14ac:dyDescent="0.2">
      <c r="B3865" s="101" t="s">
        <v>64</v>
      </c>
      <c r="C3865" s="30" t="s">
        <v>375</v>
      </c>
      <c r="D3865" s="101" t="s">
        <v>2017</v>
      </c>
      <c r="E3865" s="183"/>
      <c r="F3865" s="99"/>
    </row>
    <row r="3866" spans="2:6" x14ac:dyDescent="0.2">
      <c r="B3866" s="101" t="s">
        <v>64</v>
      </c>
      <c r="C3866" s="30" t="s">
        <v>375</v>
      </c>
      <c r="D3866" s="101" t="s">
        <v>2579</v>
      </c>
      <c r="E3866" s="183"/>
      <c r="F3866" s="99"/>
    </row>
    <row r="3867" spans="2:6" x14ac:dyDescent="0.2">
      <c r="B3867" s="101" t="s">
        <v>64</v>
      </c>
      <c r="C3867" s="30" t="s">
        <v>375</v>
      </c>
      <c r="D3867" s="101" t="s">
        <v>2060</v>
      </c>
      <c r="E3867" s="183"/>
      <c r="F3867" s="99">
        <v>0.8</v>
      </c>
    </row>
    <row r="3868" spans="2:6" x14ac:dyDescent="0.2">
      <c r="B3868" s="101" t="s">
        <v>64</v>
      </c>
      <c r="C3868" s="30" t="s">
        <v>375</v>
      </c>
      <c r="D3868" s="101">
        <v>690</v>
      </c>
      <c r="E3868" s="183"/>
      <c r="F3868" s="99">
        <v>1.4650000000000001</v>
      </c>
    </row>
    <row r="3869" spans="2:6" x14ac:dyDescent="0.2">
      <c r="B3869" s="101" t="s">
        <v>64</v>
      </c>
      <c r="C3869" s="30" t="s">
        <v>375</v>
      </c>
      <c r="D3869" s="101">
        <v>700</v>
      </c>
      <c r="E3869" s="183"/>
      <c r="F3869" s="99"/>
    </row>
    <row r="3870" spans="2:6" x14ac:dyDescent="0.2">
      <c r="B3870" s="101" t="s">
        <v>64</v>
      </c>
      <c r="C3870" s="30" t="s">
        <v>375</v>
      </c>
      <c r="D3870" s="101">
        <v>700</v>
      </c>
      <c r="E3870" s="183"/>
      <c r="F3870" s="99"/>
    </row>
    <row r="3871" spans="2:6" x14ac:dyDescent="0.2">
      <c r="B3871" s="101" t="s">
        <v>64</v>
      </c>
      <c r="C3871" s="30" t="s">
        <v>375</v>
      </c>
      <c r="D3871" s="101" t="s">
        <v>2073</v>
      </c>
      <c r="E3871" s="183"/>
      <c r="F3871" s="99">
        <v>0.47</v>
      </c>
    </row>
    <row r="3872" spans="2:6" x14ac:dyDescent="0.2">
      <c r="B3872" s="101" t="s">
        <v>64</v>
      </c>
      <c r="C3872" s="30" t="s">
        <v>375</v>
      </c>
      <c r="D3872" s="101">
        <v>700</v>
      </c>
      <c r="E3872" s="183"/>
      <c r="F3872" s="99"/>
    </row>
    <row r="3873" spans="2:6" x14ac:dyDescent="0.2">
      <c r="B3873" s="101" t="s">
        <v>64</v>
      </c>
      <c r="C3873" s="30" t="s">
        <v>1933</v>
      </c>
      <c r="D3873" s="101" t="s">
        <v>2551</v>
      </c>
      <c r="E3873" s="183"/>
      <c r="F3873" s="99">
        <v>0.33</v>
      </c>
    </row>
    <row r="3874" spans="2:6" x14ac:dyDescent="0.2">
      <c r="B3874" s="101" t="s">
        <v>64</v>
      </c>
      <c r="C3874" s="30" t="s">
        <v>1933</v>
      </c>
      <c r="D3874" s="101" t="s">
        <v>2576</v>
      </c>
      <c r="E3874" s="25"/>
      <c r="F3874" s="99">
        <v>0.65</v>
      </c>
    </row>
    <row r="3875" spans="2:6" x14ac:dyDescent="0.2">
      <c r="B3875" s="101" t="s">
        <v>64</v>
      </c>
      <c r="C3875" s="30" t="s">
        <v>2024</v>
      </c>
      <c r="D3875" s="101" t="s">
        <v>2025</v>
      </c>
      <c r="E3875" s="25"/>
      <c r="F3875" s="99"/>
    </row>
    <row r="3876" spans="2:6" x14ac:dyDescent="0.2">
      <c r="B3876" s="101" t="s">
        <v>64</v>
      </c>
      <c r="C3876" s="30" t="s">
        <v>2024</v>
      </c>
      <c r="D3876" s="101" t="s">
        <v>2026</v>
      </c>
      <c r="E3876" s="25"/>
      <c r="F3876" s="99"/>
    </row>
    <row r="3877" spans="2:6" x14ac:dyDescent="0.2">
      <c r="B3877" s="101" t="s">
        <v>64</v>
      </c>
      <c r="C3877" s="30" t="s">
        <v>1828</v>
      </c>
      <c r="D3877" s="101">
        <v>410</v>
      </c>
      <c r="E3877" s="183"/>
      <c r="F3877" s="99">
        <v>0.28999999999999998</v>
      </c>
    </row>
    <row r="3878" spans="2:6" x14ac:dyDescent="0.2">
      <c r="B3878" s="101" t="s">
        <v>64</v>
      </c>
      <c r="C3878" s="30" t="s">
        <v>1816</v>
      </c>
      <c r="D3878" s="101" t="s">
        <v>1817</v>
      </c>
      <c r="E3878" s="183"/>
      <c r="F3878" s="99">
        <v>3.18</v>
      </c>
    </row>
    <row r="3879" spans="2:6" x14ac:dyDescent="0.2">
      <c r="B3879" s="30" t="s">
        <v>64</v>
      </c>
      <c r="C3879" s="30" t="s">
        <v>326</v>
      </c>
      <c r="D3879" s="30" t="s">
        <v>475</v>
      </c>
      <c r="E3879" s="101"/>
      <c r="F3879" s="99">
        <f>(0.138)</f>
        <v>0.13800000000000001</v>
      </c>
    </row>
    <row r="3880" spans="2:6" x14ac:dyDescent="0.2">
      <c r="B3880" s="30" t="s">
        <v>64</v>
      </c>
      <c r="C3880" s="30" t="s">
        <v>1534</v>
      </c>
      <c r="D3880" s="30" t="s">
        <v>476</v>
      </c>
      <c r="E3880" s="101"/>
      <c r="F3880" s="99">
        <f>(0.211)</f>
        <v>0.21099999999999999</v>
      </c>
    </row>
    <row r="3881" spans="2:6" x14ac:dyDescent="0.2">
      <c r="B3881" s="30" t="s">
        <v>64</v>
      </c>
      <c r="C3881" s="30" t="s">
        <v>1534</v>
      </c>
      <c r="D3881" s="30" t="s">
        <v>477</v>
      </c>
      <c r="E3881" s="101"/>
      <c r="F3881" s="99">
        <v>1.85</v>
      </c>
    </row>
    <row r="3882" spans="2:6" x14ac:dyDescent="0.2">
      <c r="B3882" s="101" t="s">
        <v>64</v>
      </c>
      <c r="C3882" s="30" t="s">
        <v>1849</v>
      </c>
      <c r="D3882" s="101" t="s">
        <v>1850</v>
      </c>
      <c r="E3882" s="183"/>
      <c r="F3882" s="99">
        <v>40</v>
      </c>
    </row>
    <row r="3883" spans="2:6" x14ac:dyDescent="0.2">
      <c r="B3883" s="30" t="s">
        <v>64</v>
      </c>
      <c r="C3883" s="30" t="s">
        <v>308</v>
      </c>
      <c r="D3883" s="30" t="s">
        <v>500</v>
      </c>
      <c r="E3883" s="101"/>
      <c r="F3883" s="99">
        <v>0.80500000000000005</v>
      </c>
    </row>
    <row r="3884" spans="2:6" x14ac:dyDescent="0.2">
      <c r="B3884" s="30" t="s">
        <v>64</v>
      </c>
      <c r="C3884" s="30" t="s">
        <v>308</v>
      </c>
      <c r="D3884" s="30" t="s">
        <v>501</v>
      </c>
      <c r="E3884" s="101"/>
      <c r="F3884" s="99">
        <f>2.815-1.24-0.084-0.028</f>
        <v>1.4629999999999999</v>
      </c>
    </row>
    <row r="3885" spans="2:6" x14ac:dyDescent="0.2">
      <c r="B3885" s="30" t="s">
        <v>64</v>
      </c>
      <c r="C3885" s="248" t="s">
        <v>656</v>
      </c>
      <c r="D3885" s="249">
        <v>360</v>
      </c>
      <c r="E3885" s="89">
        <v>0.122</v>
      </c>
      <c r="F3885" s="203">
        <f>0.487</f>
        <v>0.48699999999999999</v>
      </c>
    </row>
    <row r="3886" spans="2:6" x14ac:dyDescent="0.2">
      <c r="B3886" s="30" t="s">
        <v>64</v>
      </c>
      <c r="C3886" s="175" t="s">
        <v>217</v>
      </c>
      <c r="D3886" s="249">
        <v>375</v>
      </c>
      <c r="E3886" s="89">
        <v>0.16500000000000001</v>
      </c>
      <c r="F3886" s="203">
        <v>0.40899999999999997</v>
      </c>
    </row>
    <row r="3887" spans="2:6" x14ac:dyDescent="0.2">
      <c r="B3887" s="30" t="s">
        <v>64</v>
      </c>
      <c r="C3887" s="173" t="s">
        <v>692</v>
      </c>
      <c r="D3887" s="249">
        <v>350</v>
      </c>
      <c r="E3887" s="89">
        <v>0.16</v>
      </c>
      <c r="F3887" s="203">
        <v>0.245</v>
      </c>
    </row>
    <row r="3888" spans="2:6" x14ac:dyDescent="0.2">
      <c r="B3888" s="30" t="s">
        <v>64</v>
      </c>
      <c r="C3888" s="173" t="s">
        <v>692</v>
      </c>
      <c r="D3888" s="249">
        <v>380</v>
      </c>
      <c r="E3888" s="89">
        <v>0.14499999999999999</v>
      </c>
      <c r="F3888" s="203">
        <v>0.129</v>
      </c>
    </row>
    <row r="3889" spans="2:6" x14ac:dyDescent="0.2">
      <c r="B3889" s="30" t="s">
        <v>64</v>
      </c>
      <c r="C3889" s="248" t="s">
        <v>708</v>
      </c>
      <c r="D3889" s="249">
        <v>320</v>
      </c>
      <c r="E3889" s="89">
        <v>0.113</v>
      </c>
      <c r="F3889" s="203">
        <v>0.56999999999999995</v>
      </c>
    </row>
    <row r="3890" spans="2:6" x14ac:dyDescent="0.2">
      <c r="B3890" s="30" t="s">
        <v>64</v>
      </c>
      <c r="C3890" s="175" t="s">
        <v>217</v>
      </c>
      <c r="D3890" s="249">
        <v>450</v>
      </c>
      <c r="E3890" s="89">
        <v>0.8</v>
      </c>
      <c r="F3890" s="203">
        <v>0.18099999999999999</v>
      </c>
    </row>
    <row r="3891" spans="2:6" x14ac:dyDescent="0.2">
      <c r="B3891" s="30" t="s">
        <v>64</v>
      </c>
      <c r="C3891" s="173" t="s">
        <v>692</v>
      </c>
      <c r="D3891" s="249">
        <v>340</v>
      </c>
      <c r="E3891" s="89">
        <v>9.1999999999999998E-2</v>
      </c>
      <c r="F3891" s="203">
        <v>6.4000000000000001E-2</v>
      </c>
    </row>
    <row r="3892" spans="2:6" x14ac:dyDescent="0.2">
      <c r="B3892" s="30" t="s">
        <v>64</v>
      </c>
      <c r="C3892" s="173" t="s">
        <v>692</v>
      </c>
      <c r="D3892" s="249">
        <v>660</v>
      </c>
      <c r="E3892" s="89" t="s">
        <v>2927</v>
      </c>
      <c r="F3892" s="203">
        <v>0.78600000000000003</v>
      </c>
    </row>
    <row r="3893" spans="2:6" x14ac:dyDescent="0.2">
      <c r="B3893" s="30" t="s">
        <v>64</v>
      </c>
      <c r="C3893" s="248" t="s">
        <v>3041</v>
      </c>
      <c r="D3893" s="249">
        <v>200</v>
      </c>
      <c r="E3893" s="89">
        <v>0.47</v>
      </c>
      <c r="F3893" s="203">
        <v>0.34</v>
      </c>
    </row>
    <row r="3894" spans="2:6" x14ac:dyDescent="0.2">
      <c r="B3894" s="36" t="s">
        <v>263</v>
      </c>
      <c r="C3894" s="178">
        <v>3</v>
      </c>
      <c r="D3894" s="49" t="s">
        <v>267</v>
      </c>
      <c r="E3894" s="77">
        <v>6</v>
      </c>
      <c r="F3894" s="41">
        <v>1.94</v>
      </c>
    </row>
    <row r="3895" spans="2:6" x14ac:dyDescent="0.2">
      <c r="B3895" s="36" t="s">
        <v>263</v>
      </c>
      <c r="C3895" s="178">
        <v>3</v>
      </c>
      <c r="D3895" s="49" t="s">
        <v>266</v>
      </c>
      <c r="E3895" s="77">
        <v>6</v>
      </c>
      <c r="F3895" s="41">
        <v>1.52</v>
      </c>
    </row>
    <row r="3896" spans="2:6" x14ac:dyDescent="0.2">
      <c r="B3896" s="112" t="s">
        <v>263</v>
      </c>
      <c r="C3896" s="30">
        <v>40</v>
      </c>
      <c r="D3896" s="30" t="s">
        <v>2600</v>
      </c>
      <c r="E3896" s="25"/>
      <c r="F3896" s="99">
        <f>2.41-0.05-0.06-0.06-0.1</f>
        <v>2.14</v>
      </c>
    </row>
    <row r="3897" spans="2:6" x14ac:dyDescent="0.2">
      <c r="B3897" s="112" t="s">
        <v>263</v>
      </c>
      <c r="C3897" s="30" t="s">
        <v>2391</v>
      </c>
      <c r="D3897" s="112">
        <v>30</v>
      </c>
      <c r="E3897" s="101"/>
      <c r="F3897" s="99">
        <v>0.2</v>
      </c>
    </row>
    <row r="3898" spans="2:6" x14ac:dyDescent="0.2">
      <c r="B3898" s="112" t="s">
        <v>263</v>
      </c>
      <c r="C3898" s="30" t="s">
        <v>2392</v>
      </c>
      <c r="D3898" s="30" t="s">
        <v>2604</v>
      </c>
      <c r="E3898" s="101"/>
      <c r="F3898" s="99">
        <f>23.5-0.31-0.28-0.29-0.6-0.29-0.32-0.305-0.26-0.3-0.59-0.855-0.27-0.56-0.555-0.25-0.85-0.26-0.25-0.27-0.24-0.26-0.27-0.26</f>
        <v>14.804999999999998</v>
      </c>
    </row>
    <row r="3899" spans="2:6" x14ac:dyDescent="0.2">
      <c r="B3899" s="36" t="s">
        <v>263</v>
      </c>
      <c r="C3899" s="178" t="s">
        <v>210</v>
      </c>
      <c r="D3899" s="237" t="s">
        <v>265</v>
      </c>
      <c r="E3899" s="77">
        <v>6</v>
      </c>
      <c r="F3899" s="41">
        <v>8.7100000000000009</v>
      </c>
    </row>
    <row r="3900" spans="2:6" x14ac:dyDescent="0.2">
      <c r="B3900" s="112" t="s">
        <v>263</v>
      </c>
      <c r="C3900" s="30" t="s">
        <v>216</v>
      </c>
      <c r="D3900" s="112">
        <v>80</v>
      </c>
      <c r="E3900" s="101"/>
      <c r="F3900" s="99"/>
    </row>
    <row r="3901" spans="2:6" x14ac:dyDescent="0.2">
      <c r="B3901" s="112" t="s">
        <v>263</v>
      </c>
      <c r="C3901" s="30" t="s">
        <v>216</v>
      </c>
      <c r="D3901" s="112">
        <v>90</v>
      </c>
      <c r="E3901" s="101"/>
      <c r="F3901" s="99"/>
    </row>
    <row r="3902" spans="2:6" x14ac:dyDescent="0.2">
      <c r="B3902" s="112" t="s">
        <v>263</v>
      </c>
      <c r="C3902" s="30" t="s">
        <v>216</v>
      </c>
      <c r="D3902" s="112">
        <v>100</v>
      </c>
      <c r="E3902" s="101"/>
      <c r="F3902" s="99"/>
    </row>
    <row r="3903" spans="2:6" x14ac:dyDescent="0.2">
      <c r="B3903" s="112" t="s">
        <v>263</v>
      </c>
      <c r="C3903" s="30" t="s">
        <v>2390</v>
      </c>
      <c r="D3903" s="112">
        <v>100</v>
      </c>
      <c r="E3903" s="25"/>
      <c r="F3903" s="99"/>
    </row>
    <row r="3904" spans="2:6" x14ac:dyDescent="0.2">
      <c r="B3904" s="30" t="s">
        <v>263</v>
      </c>
      <c r="C3904" s="30" t="s">
        <v>359</v>
      </c>
      <c r="D3904" s="30" t="s">
        <v>578</v>
      </c>
      <c r="E3904" s="101">
        <v>3.19</v>
      </c>
      <c r="F3904" s="99">
        <f>1.298-0.498</f>
        <v>0.8</v>
      </c>
    </row>
    <row r="3905" spans="2:6" x14ac:dyDescent="0.2">
      <c r="B3905" s="30" t="s">
        <v>263</v>
      </c>
      <c r="C3905" s="30" t="s">
        <v>359</v>
      </c>
      <c r="D3905" s="30" t="s">
        <v>579</v>
      </c>
      <c r="E3905" s="101">
        <v>0.69</v>
      </c>
      <c r="F3905" s="233">
        <f>0.956-0.712</f>
        <v>0.24399999999999999</v>
      </c>
    </row>
    <row r="3906" spans="2:6" x14ac:dyDescent="0.2">
      <c r="B3906" s="30" t="s">
        <v>263</v>
      </c>
      <c r="C3906" s="30" t="s">
        <v>323</v>
      </c>
      <c r="D3906" s="30" t="s">
        <v>580</v>
      </c>
      <c r="E3906" s="101">
        <v>1.5</v>
      </c>
      <c r="F3906" s="233">
        <f>0.494-0.175-0.134</f>
        <v>0.185</v>
      </c>
    </row>
    <row r="3907" spans="2:6" x14ac:dyDescent="0.2">
      <c r="B3907" s="30" t="s">
        <v>263</v>
      </c>
      <c r="C3907" s="30" t="s">
        <v>323</v>
      </c>
      <c r="D3907" s="30" t="s">
        <v>581</v>
      </c>
      <c r="E3907" s="101" t="s">
        <v>2699</v>
      </c>
      <c r="F3907" s="233">
        <f>0.686-0.51</f>
        <v>0.17600000000000005</v>
      </c>
    </row>
    <row r="3908" spans="2:6" x14ac:dyDescent="0.2">
      <c r="B3908" s="30" t="s">
        <v>263</v>
      </c>
      <c r="C3908" s="30" t="s">
        <v>323</v>
      </c>
      <c r="D3908" s="30" t="s">
        <v>582</v>
      </c>
      <c r="E3908" s="101"/>
      <c r="F3908" s="233">
        <f>(0.128)</f>
        <v>0.128</v>
      </c>
    </row>
    <row r="3909" spans="2:6" x14ac:dyDescent="0.2">
      <c r="B3909" s="30" t="s">
        <v>263</v>
      </c>
      <c r="C3909" s="30" t="s">
        <v>323</v>
      </c>
      <c r="D3909" s="30" t="s">
        <v>583</v>
      </c>
      <c r="E3909" s="101"/>
      <c r="F3909" s="233">
        <f>(0.134)</f>
        <v>0.13400000000000001</v>
      </c>
    </row>
    <row r="3910" spans="2:6" x14ac:dyDescent="0.2">
      <c r="B3910" s="30" t="s">
        <v>263</v>
      </c>
      <c r="C3910" s="30" t="s">
        <v>323</v>
      </c>
      <c r="D3910" s="30" t="s">
        <v>1160</v>
      </c>
      <c r="E3910" s="101"/>
      <c r="F3910" s="233">
        <f>(0.12)</f>
        <v>0.12</v>
      </c>
    </row>
    <row r="3911" spans="2:6" x14ac:dyDescent="0.2">
      <c r="B3911" s="30" t="s">
        <v>263</v>
      </c>
      <c r="C3911" s="30" t="s">
        <v>686</v>
      </c>
      <c r="D3911" s="30" t="s">
        <v>580</v>
      </c>
      <c r="E3911" s="101" t="s">
        <v>634</v>
      </c>
      <c r="F3911" s="233">
        <f>1.784-0.21-0.124-0.012-0.394-0.114-0.426-0.216-0.042-0.008-0.052</f>
        <v>0.18600000000000003</v>
      </c>
    </row>
    <row r="3912" spans="2:6" x14ac:dyDescent="0.2">
      <c r="B3912" s="30" t="s">
        <v>263</v>
      </c>
      <c r="C3912" s="30" t="s">
        <v>686</v>
      </c>
      <c r="D3912" s="30" t="s">
        <v>584</v>
      </c>
      <c r="E3912" s="101">
        <v>4.93</v>
      </c>
      <c r="F3912" s="233">
        <f>4.092-0.116-0.12-0.118-0.01-0.544-0.05-0.15-0.094-0.058-0.098-0.064-0.074-0.046-0.2-0.056-0.2</f>
        <v>2.0940000000000003</v>
      </c>
    </row>
    <row r="3913" spans="2:6" x14ac:dyDescent="0.2">
      <c r="B3913" s="30" t="s">
        <v>263</v>
      </c>
      <c r="C3913" s="30" t="s">
        <v>686</v>
      </c>
      <c r="D3913" s="30" t="s">
        <v>585</v>
      </c>
      <c r="E3913" s="112" t="s">
        <v>2713</v>
      </c>
      <c r="F3913" s="99">
        <f>4.81-0.146-0.134-0.22-0.542-0.33+1.732-0.54-0.134-0.14-0.18-0.682-0.136-1.16-0.078-0.086-0.288-1.554</f>
        <v>0.19200000000000061</v>
      </c>
    </row>
    <row r="3914" spans="2:6" x14ac:dyDescent="0.2">
      <c r="B3914" s="30" t="s">
        <v>263</v>
      </c>
      <c r="C3914" s="30" t="s">
        <v>686</v>
      </c>
      <c r="D3914" s="30" t="s">
        <v>586</v>
      </c>
      <c r="E3914" s="101"/>
      <c r="F3914" s="34">
        <f>(0.084)+(0.044)-0.044</f>
        <v>8.4000000000000005E-2</v>
      </c>
    </row>
    <row r="3915" spans="2:6" x14ac:dyDescent="0.2">
      <c r="B3915" s="30" t="s">
        <v>263</v>
      </c>
      <c r="C3915" s="30" t="s">
        <v>686</v>
      </c>
      <c r="D3915" s="30" t="s">
        <v>587</v>
      </c>
      <c r="E3915" s="101"/>
      <c r="F3915" s="34">
        <f>(0.202)-0.042</f>
        <v>0.16</v>
      </c>
    </row>
    <row r="3916" spans="2:6" x14ac:dyDescent="0.2">
      <c r="B3916" s="30" t="s">
        <v>263</v>
      </c>
      <c r="C3916" s="30" t="s">
        <v>686</v>
      </c>
      <c r="D3916" s="30" t="s">
        <v>1162</v>
      </c>
      <c r="E3916" s="101"/>
      <c r="F3916" s="34">
        <f>(0.102)</f>
        <v>0.10199999999999999</v>
      </c>
    </row>
    <row r="3917" spans="2:6" x14ac:dyDescent="0.2">
      <c r="B3917" s="30" t="s">
        <v>263</v>
      </c>
      <c r="C3917" s="30" t="s">
        <v>686</v>
      </c>
      <c r="D3917" s="30" t="s">
        <v>483</v>
      </c>
      <c r="E3917" s="101"/>
      <c r="F3917" s="34">
        <f>(0.394)-0.134-0.148</f>
        <v>0.11200000000000002</v>
      </c>
    </row>
    <row r="3918" spans="2:6" x14ac:dyDescent="0.2">
      <c r="B3918" s="30" t="s">
        <v>263</v>
      </c>
      <c r="C3918" s="30" t="s">
        <v>686</v>
      </c>
      <c r="D3918" s="30" t="s">
        <v>578</v>
      </c>
      <c r="E3918" s="101"/>
      <c r="F3918" s="34">
        <f>3.942-0.742-1.97-0.576-0.484-0.056</f>
        <v>0.11400000000000027</v>
      </c>
    </row>
    <row r="3919" spans="2:6" x14ac:dyDescent="0.2">
      <c r="B3919" s="30" t="s">
        <v>263</v>
      </c>
      <c r="C3919" s="30" t="s">
        <v>686</v>
      </c>
      <c r="D3919" s="30" t="s">
        <v>588</v>
      </c>
      <c r="E3919" s="101"/>
      <c r="F3919" s="34">
        <f>3.396-1.724-0.63-(0.202)-0.354-0.138</f>
        <v>0.34799999999999986</v>
      </c>
    </row>
    <row r="3920" spans="2:6" x14ac:dyDescent="0.2">
      <c r="B3920" s="30" t="s">
        <v>263</v>
      </c>
      <c r="C3920" s="30" t="s">
        <v>686</v>
      </c>
      <c r="D3920" s="30" t="s">
        <v>589</v>
      </c>
      <c r="E3920" s="112"/>
      <c r="F3920" s="34">
        <f>(0.124)</f>
        <v>0.124</v>
      </c>
    </row>
    <row r="3921" spans="2:6" x14ac:dyDescent="0.2">
      <c r="B3921" s="30" t="s">
        <v>263</v>
      </c>
      <c r="C3921" s="30" t="s">
        <v>686</v>
      </c>
      <c r="D3921" s="30" t="s">
        <v>1163</v>
      </c>
      <c r="E3921" s="101"/>
      <c r="F3921" s="34">
        <f>(0.114)</f>
        <v>0.114</v>
      </c>
    </row>
    <row r="3922" spans="2:6" x14ac:dyDescent="0.2">
      <c r="B3922" s="101" t="s">
        <v>263</v>
      </c>
      <c r="C3922" s="30" t="s">
        <v>686</v>
      </c>
      <c r="D3922" s="101">
        <v>360</v>
      </c>
      <c r="E3922" s="25"/>
      <c r="F3922" s="99"/>
    </row>
    <row r="3923" spans="2:6" x14ac:dyDescent="0.2">
      <c r="B3923" s="101" t="s">
        <v>263</v>
      </c>
      <c r="C3923" s="30" t="s">
        <v>714</v>
      </c>
      <c r="D3923" s="101">
        <v>75</v>
      </c>
      <c r="E3923" s="112"/>
      <c r="F3923" s="99">
        <v>0.57999999999999996</v>
      </c>
    </row>
    <row r="3924" spans="2:6" x14ac:dyDescent="0.2">
      <c r="B3924" s="101" t="s">
        <v>263</v>
      </c>
      <c r="C3924" s="30" t="s">
        <v>714</v>
      </c>
      <c r="D3924" s="101">
        <v>95</v>
      </c>
      <c r="E3924" s="112"/>
      <c r="F3924" s="99">
        <v>0.34</v>
      </c>
    </row>
    <row r="3925" spans="2:6" x14ac:dyDescent="0.2">
      <c r="B3925" s="101" t="s">
        <v>263</v>
      </c>
      <c r="C3925" s="30" t="s">
        <v>714</v>
      </c>
      <c r="D3925" s="101">
        <v>145</v>
      </c>
      <c r="E3925" s="112"/>
      <c r="F3925" s="99"/>
    </row>
    <row r="3926" spans="2:6" x14ac:dyDescent="0.2">
      <c r="B3926" s="30" t="s">
        <v>263</v>
      </c>
      <c r="C3926" s="30" t="s">
        <v>367</v>
      </c>
      <c r="D3926" s="30" t="s">
        <v>1166</v>
      </c>
      <c r="E3926" s="101"/>
      <c r="F3926" s="99">
        <f>1.448-0.09</f>
        <v>1.3579999999999999</v>
      </c>
    </row>
    <row r="3927" spans="2:6" x14ac:dyDescent="0.2">
      <c r="B3927" s="101" t="s">
        <v>263</v>
      </c>
      <c r="C3927" s="30" t="s">
        <v>367</v>
      </c>
      <c r="D3927" s="101" t="s">
        <v>2389</v>
      </c>
      <c r="E3927" s="101"/>
      <c r="F3927" s="99"/>
    </row>
    <row r="3928" spans="2:6" x14ac:dyDescent="0.2">
      <c r="B3928" s="112" t="s">
        <v>263</v>
      </c>
      <c r="C3928" s="30" t="s">
        <v>367</v>
      </c>
      <c r="D3928" s="112">
        <v>70</v>
      </c>
      <c r="E3928" s="101"/>
      <c r="F3928" s="99"/>
    </row>
    <row r="3929" spans="2:6" x14ac:dyDescent="0.2">
      <c r="B3929" s="112" t="s">
        <v>263</v>
      </c>
      <c r="C3929" s="30" t="s">
        <v>367</v>
      </c>
      <c r="D3929" s="112">
        <v>75</v>
      </c>
      <c r="E3929" s="25"/>
      <c r="F3929" s="233">
        <v>0.4</v>
      </c>
    </row>
    <row r="3930" spans="2:6" x14ac:dyDescent="0.2">
      <c r="B3930" s="112" t="s">
        <v>263</v>
      </c>
      <c r="C3930" s="30" t="s">
        <v>367</v>
      </c>
      <c r="D3930" s="112">
        <v>95</v>
      </c>
      <c r="E3930" s="101"/>
      <c r="F3930" s="233"/>
    </row>
    <row r="3931" spans="2:6" x14ac:dyDescent="0.2">
      <c r="B3931" s="112" t="s">
        <v>263</v>
      </c>
      <c r="C3931" s="30" t="s">
        <v>367</v>
      </c>
      <c r="D3931" s="112">
        <v>100</v>
      </c>
      <c r="E3931" s="25"/>
      <c r="F3931" s="233">
        <v>0.4</v>
      </c>
    </row>
    <row r="3932" spans="2:6" x14ac:dyDescent="0.2">
      <c r="B3932" s="112" t="s">
        <v>263</v>
      </c>
      <c r="C3932" s="30" t="s">
        <v>367</v>
      </c>
      <c r="D3932" s="112">
        <v>120</v>
      </c>
      <c r="E3932" s="25"/>
      <c r="F3932" s="233"/>
    </row>
    <row r="3933" spans="2:6" x14ac:dyDescent="0.2">
      <c r="B3933" s="112" t="s">
        <v>263</v>
      </c>
      <c r="C3933" s="30" t="s">
        <v>367</v>
      </c>
      <c r="D3933" s="112">
        <v>130</v>
      </c>
      <c r="E3933" s="25"/>
      <c r="F3933" s="233"/>
    </row>
    <row r="3934" spans="2:6" x14ac:dyDescent="0.2">
      <c r="B3934" s="112" t="s">
        <v>263</v>
      </c>
      <c r="C3934" s="30" t="s">
        <v>367</v>
      </c>
      <c r="D3934" s="112">
        <v>180</v>
      </c>
      <c r="E3934" s="25"/>
      <c r="F3934" s="233"/>
    </row>
    <row r="3935" spans="2:6" x14ac:dyDescent="0.2">
      <c r="B3935" s="112" t="s">
        <v>263</v>
      </c>
      <c r="C3935" s="30" t="s">
        <v>367</v>
      </c>
      <c r="D3935" s="112">
        <v>220</v>
      </c>
      <c r="E3935" s="101"/>
      <c r="F3935" s="233">
        <f>8.515-0.91+0.91-0.91</f>
        <v>7.6050000000000004</v>
      </c>
    </row>
    <row r="3936" spans="2:6" x14ac:dyDescent="0.2">
      <c r="B3936" s="112" t="s">
        <v>263</v>
      </c>
      <c r="C3936" s="30" t="s">
        <v>708</v>
      </c>
      <c r="D3936" s="112" t="s">
        <v>2599</v>
      </c>
      <c r="E3936" s="101"/>
      <c r="F3936" s="233">
        <f>0.24-0.06</f>
        <v>0.18</v>
      </c>
    </row>
    <row r="3937" spans="2:6" x14ac:dyDescent="0.2">
      <c r="B3937" s="30" t="s">
        <v>263</v>
      </c>
      <c r="C3937" s="30" t="s">
        <v>352</v>
      </c>
      <c r="D3937" s="30" t="s">
        <v>620</v>
      </c>
      <c r="E3937" s="101"/>
      <c r="F3937" s="99">
        <f>0.336-0.336+0.32-0.026+2.114-0.03-(0.042)-0.35-0.026</f>
        <v>1.9600000000000002</v>
      </c>
    </row>
    <row r="3938" spans="2:6" x14ac:dyDescent="0.2">
      <c r="B3938" s="30" t="s">
        <v>263</v>
      </c>
      <c r="C3938" s="30" t="s">
        <v>352</v>
      </c>
      <c r="D3938" s="30" t="s">
        <v>621</v>
      </c>
      <c r="E3938" s="101"/>
      <c r="F3938" s="34">
        <f>0.876-0.176-0.22-0.13-0.068+2.626-0.204-0.086-0.128-0.138-0.088-0.086-0.096</f>
        <v>2.0819999999999999</v>
      </c>
    </row>
    <row r="3939" spans="2:6" x14ac:dyDescent="0.2">
      <c r="B3939" s="30" t="s">
        <v>263</v>
      </c>
      <c r="C3939" s="30" t="s">
        <v>352</v>
      </c>
      <c r="D3939" s="30" t="s">
        <v>622</v>
      </c>
      <c r="E3939" s="101"/>
      <c r="F3939" s="34">
        <f>3.248-0.096-1.628-0.236-0.252-0.232-0.16-0.206-0.05-0.022</f>
        <v>0.36600000000000027</v>
      </c>
    </row>
    <row r="3940" spans="2:6" x14ac:dyDescent="0.2">
      <c r="B3940" s="30" t="s">
        <v>263</v>
      </c>
      <c r="C3940" s="30" t="s">
        <v>352</v>
      </c>
      <c r="D3940" s="30" t="s">
        <v>623</v>
      </c>
      <c r="E3940" s="101"/>
      <c r="F3940" s="34">
        <f>3.243-0.034-0.228-0.184</f>
        <v>2.7969999999999997</v>
      </c>
    </row>
    <row r="3941" spans="2:6" x14ac:dyDescent="0.2">
      <c r="B3941" s="30" t="s">
        <v>263</v>
      </c>
      <c r="C3941" s="30" t="s">
        <v>352</v>
      </c>
      <c r="D3941" s="30" t="s">
        <v>624</v>
      </c>
      <c r="E3941" s="101"/>
      <c r="F3941" s="34">
        <f>0.31-0.046</f>
        <v>0.26400000000000001</v>
      </c>
    </row>
    <row r="3942" spans="2:6" x14ac:dyDescent="0.2">
      <c r="B3942" s="30" t="s">
        <v>263</v>
      </c>
      <c r="C3942" s="30" t="s">
        <v>352</v>
      </c>
      <c r="D3942" s="30" t="s">
        <v>1185</v>
      </c>
      <c r="E3942" s="112"/>
      <c r="F3942" s="34">
        <v>9.6000000000000002E-2</v>
      </c>
    </row>
    <row r="3943" spans="2:6" x14ac:dyDescent="0.2">
      <c r="B3943" s="30" t="s">
        <v>263</v>
      </c>
      <c r="C3943" s="30" t="s">
        <v>352</v>
      </c>
      <c r="D3943" s="30" t="s">
        <v>625</v>
      </c>
      <c r="E3943" s="112"/>
      <c r="F3943" s="34">
        <f>2.339+6.36-0.204-0.044-0.23</f>
        <v>8.2209999999999983</v>
      </c>
    </row>
    <row r="3944" spans="2:6" x14ac:dyDescent="0.2">
      <c r="B3944" s="30" t="s">
        <v>263</v>
      </c>
      <c r="C3944" s="30" t="s">
        <v>352</v>
      </c>
      <c r="D3944" s="166" t="s">
        <v>626</v>
      </c>
      <c r="E3944" s="112"/>
      <c r="F3944" s="34">
        <f>0.97-0.095-0.03-0.845+4.07-3.18-(0.06)-0.266+1.018-0.104-0.19-0.128-0.128+5.085-0.718-0.648-0.128+5.452-0.252-0.198-1.816-0.104</f>
        <v>7.7049999999999983</v>
      </c>
    </row>
    <row r="3945" spans="2:6" x14ac:dyDescent="0.2">
      <c r="B3945" s="30" t="s">
        <v>263</v>
      </c>
      <c r="C3945" s="30" t="s">
        <v>352</v>
      </c>
      <c r="D3945" s="30" t="s">
        <v>627</v>
      </c>
      <c r="E3945" s="101"/>
      <c r="F3945" s="34">
        <f>7.515-0.262-0.408-0.39-0.615-0.28-0.55-0.14-0.5-1.896-1.752-0.505-0.234+(0.017)+2.025-0.188-0.39+6.935-3.542-(0.076)-0.664-0.184-0.09-0.718-0.332+2.008-0.69-1.01-0.512-0.21-0.362-0.116-0.256-0.258+1.976</f>
        <v>3.346000000000001</v>
      </c>
    </row>
    <row r="3946" spans="2:6" x14ac:dyDescent="0.2">
      <c r="B3946" s="30" t="s">
        <v>263</v>
      </c>
      <c r="C3946" s="30" t="s">
        <v>352</v>
      </c>
      <c r="D3946" s="30" t="s">
        <v>628</v>
      </c>
      <c r="E3946" s="101"/>
      <c r="F3946" s="233">
        <f>3.188-1.16-0.035-0.17-0.072-0.334-0.152-0.192-0.412-0.594+2.19-0.812-0.766-0.4+(0.766)-0.228-0.2+1.96</f>
        <v>2.5770000000000004</v>
      </c>
    </row>
    <row r="3947" spans="2:6" x14ac:dyDescent="0.2">
      <c r="B3947" s="30" t="s">
        <v>263</v>
      </c>
      <c r="C3947" s="30" t="s">
        <v>352</v>
      </c>
      <c r="D3947" s="30" t="s">
        <v>1186</v>
      </c>
      <c r="E3947" s="101"/>
      <c r="F3947" s="34">
        <f>(0.036)+2.206</f>
        <v>2.242</v>
      </c>
    </row>
    <row r="3948" spans="2:6" x14ac:dyDescent="0.2">
      <c r="B3948" s="30" t="s">
        <v>263</v>
      </c>
      <c r="C3948" s="30" t="s">
        <v>352</v>
      </c>
      <c r="D3948" s="30" t="s">
        <v>1186</v>
      </c>
      <c r="E3948" s="101"/>
      <c r="F3948" s="180" t="s">
        <v>1161</v>
      </c>
    </row>
    <row r="3949" spans="2:6" x14ac:dyDescent="0.2">
      <c r="B3949" s="30" t="s">
        <v>263</v>
      </c>
      <c r="C3949" s="30" t="s">
        <v>352</v>
      </c>
      <c r="D3949" s="30" t="s">
        <v>629</v>
      </c>
      <c r="E3949" s="112"/>
      <c r="F3949" s="99">
        <f>(1.236)-0.104</f>
        <v>1.1319999999999999</v>
      </c>
    </row>
    <row r="3950" spans="2:6" x14ac:dyDescent="0.2">
      <c r="B3950" s="30" t="s">
        <v>263</v>
      </c>
      <c r="C3950" s="30" t="s">
        <v>352</v>
      </c>
      <c r="D3950" s="30" t="s">
        <v>630</v>
      </c>
      <c r="E3950" s="101"/>
      <c r="F3950" s="34">
        <f>2.122-1.28-0.304+2.242</f>
        <v>2.78</v>
      </c>
    </row>
    <row r="3951" spans="2:6" x14ac:dyDescent="0.2">
      <c r="B3951" s="36" t="s">
        <v>263</v>
      </c>
      <c r="C3951" s="174" t="s">
        <v>268</v>
      </c>
      <c r="D3951" s="237" t="s">
        <v>264</v>
      </c>
      <c r="E3951" s="77">
        <v>6</v>
      </c>
      <c r="F3951" s="41">
        <v>1.0900000000000001</v>
      </c>
    </row>
    <row r="3952" spans="2:6" x14ac:dyDescent="0.2">
      <c r="B3952" s="167" t="s">
        <v>263</v>
      </c>
      <c r="C3952" s="30" t="s">
        <v>396</v>
      </c>
      <c r="D3952" s="167" t="s">
        <v>631</v>
      </c>
      <c r="E3952" s="106"/>
      <c r="F3952" s="181">
        <v>5.0000000000000001E-3</v>
      </c>
    </row>
    <row r="3953" spans="2:6" x14ac:dyDescent="0.2">
      <c r="B3953" s="167" t="s">
        <v>263</v>
      </c>
      <c r="C3953" s="30" t="s">
        <v>396</v>
      </c>
      <c r="D3953" s="167" t="s">
        <v>632</v>
      </c>
      <c r="E3953" s="106"/>
      <c r="F3953" s="181">
        <v>3.2000000000000001E-2</v>
      </c>
    </row>
    <row r="3954" spans="2:6" x14ac:dyDescent="0.2">
      <c r="B3954" s="30" t="s">
        <v>263</v>
      </c>
      <c r="C3954" s="30" t="s">
        <v>326</v>
      </c>
      <c r="D3954" s="30" t="s">
        <v>590</v>
      </c>
      <c r="E3954" s="112">
        <v>0.9</v>
      </c>
      <c r="F3954" s="34">
        <f>0.434+0.09-0.032-0.034-0.008-0.008-0.062-0.028-0.028-0.02</f>
        <v>0.30399999999999988</v>
      </c>
    </row>
    <row r="3955" spans="2:6" x14ac:dyDescent="0.2">
      <c r="B3955" s="30" t="s">
        <v>263</v>
      </c>
      <c r="C3955" s="30" t="s">
        <v>326</v>
      </c>
      <c r="D3955" s="30" t="s">
        <v>1170</v>
      </c>
      <c r="E3955" s="101">
        <v>2</v>
      </c>
      <c r="F3955" s="34">
        <v>0.44400000000000001</v>
      </c>
    </row>
    <row r="3956" spans="2:6" x14ac:dyDescent="0.2">
      <c r="B3956" s="30" t="s">
        <v>263</v>
      </c>
      <c r="C3956" s="30" t="s">
        <v>326</v>
      </c>
      <c r="D3956" s="30" t="s">
        <v>1171</v>
      </c>
      <c r="E3956" s="101">
        <v>1.97</v>
      </c>
      <c r="F3956" s="34">
        <v>0.52400000000000002</v>
      </c>
    </row>
    <row r="3957" spans="2:6" x14ac:dyDescent="0.2">
      <c r="B3957" s="30" t="s">
        <v>263</v>
      </c>
      <c r="C3957" s="30" t="s">
        <v>326</v>
      </c>
      <c r="D3957" s="30" t="s">
        <v>1172</v>
      </c>
      <c r="E3957" s="101" t="s">
        <v>2769</v>
      </c>
      <c r="F3957" s="34">
        <v>1.8740000000000001</v>
      </c>
    </row>
    <row r="3958" spans="2:6" x14ac:dyDescent="0.2">
      <c r="B3958" s="112" t="s">
        <v>263</v>
      </c>
      <c r="C3958" s="30" t="s">
        <v>326</v>
      </c>
      <c r="D3958" s="112">
        <v>16</v>
      </c>
      <c r="E3958" s="25"/>
      <c r="F3958" s="233"/>
    </row>
    <row r="3959" spans="2:6" x14ac:dyDescent="0.2">
      <c r="B3959" s="112" t="s">
        <v>263</v>
      </c>
      <c r="C3959" s="30" t="s">
        <v>326</v>
      </c>
      <c r="D3959" s="112">
        <v>30</v>
      </c>
      <c r="E3959" s="101"/>
      <c r="F3959" s="233">
        <f>0.33-0.16+0.16</f>
        <v>0.33</v>
      </c>
    </row>
    <row r="3960" spans="2:6" x14ac:dyDescent="0.2">
      <c r="B3960" s="112" t="s">
        <v>263</v>
      </c>
      <c r="C3960" s="30" t="s">
        <v>326</v>
      </c>
      <c r="D3960" s="112">
        <v>40</v>
      </c>
      <c r="E3960" s="101"/>
      <c r="F3960" s="99"/>
    </row>
    <row r="3961" spans="2:6" x14ac:dyDescent="0.2">
      <c r="B3961" s="112" t="s">
        <v>263</v>
      </c>
      <c r="C3961" s="30" t="s">
        <v>326</v>
      </c>
      <c r="D3961" s="112">
        <v>60</v>
      </c>
      <c r="E3961" s="101"/>
      <c r="F3961" s="233"/>
    </row>
    <row r="3962" spans="2:6" x14ac:dyDescent="0.2">
      <c r="B3962" s="112" t="s">
        <v>263</v>
      </c>
      <c r="C3962" s="30" t="s">
        <v>326</v>
      </c>
      <c r="D3962" s="112">
        <v>120</v>
      </c>
      <c r="E3962" s="101"/>
      <c r="F3962" s="233"/>
    </row>
    <row r="3963" spans="2:6" x14ac:dyDescent="0.2">
      <c r="B3963" s="112" t="s">
        <v>263</v>
      </c>
      <c r="C3963" s="30" t="s">
        <v>802</v>
      </c>
      <c r="D3963" s="112" t="s">
        <v>592</v>
      </c>
      <c r="E3963" s="25"/>
      <c r="F3963" s="99">
        <v>2.5000000000000001E-2</v>
      </c>
    </row>
    <row r="3964" spans="2:6" x14ac:dyDescent="0.2">
      <c r="B3964" s="30" t="s">
        <v>263</v>
      </c>
      <c r="C3964" s="30" t="s">
        <v>329</v>
      </c>
      <c r="D3964" s="30" t="s">
        <v>1174</v>
      </c>
      <c r="E3964" s="101"/>
      <c r="F3964" s="180"/>
    </row>
    <row r="3965" spans="2:6" x14ac:dyDescent="0.2">
      <c r="B3965" s="30" t="s">
        <v>263</v>
      </c>
      <c r="C3965" s="30" t="s">
        <v>329</v>
      </c>
      <c r="D3965" s="30" t="s">
        <v>1175</v>
      </c>
      <c r="E3965" s="101"/>
      <c r="F3965" s="180"/>
    </row>
    <row r="3966" spans="2:6" x14ac:dyDescent="0.2">
      <c r="B3966" s="30" t="s">
        <v>263</v>
      </c>
      <c r="C3966" s="30" t="s">
        <v>329</v>
      </c>
      <c r="D3966" s="30" t="s">
        <v>1176</v>
      </c>
      <c r="E3966" s="101"/>
      <c r="F3966" s="180"/>
    </row>
    <row r="3967" spans="2:6" x14ac:dyDescent="0.2">
      <c r="B3967" s="30" t="s">
        <v>263</v>
      </c>
      <c r="C3967" s="30" t="s">
        <v>329</v>
      </c>
      <c r="D3967" s="30" t="s">
        <v>1177</v>
      </c>
      <c r="E3967" s="101"/>
      <c r="F3967" s="180"/>
    </row>
    <row r="3968" spans="2:6" x14ac:dyDescent="0.2">
      <c r="B3968" s="30" t="s">
        <v>263</v>
      </c>
      <c r="C3968" s="30" t="s">
        <v>329</v>
      </c>
      <c r="D3968" s="30" t="s">
        <v>1178</v>
      </c>
      <c r="E3968" s="101"/>
      <c r="F3968" s="180"/>
    </row>
    <row r="3969" spans="2:6" x14ac:dyDescent="0.2">
      <c r="B3969" s="30" t="s">
        <v>263</v>
      </c>
      <c r="C3969" s="30" t="s">
        <v>329</v>
      </c>
      <c r="D3969" s="30" t="s">
        <v>1179</v>
      </c>
      <c r="E3969" s="101"/>
      <c r="F3969" s="99">
        <v>3.55</v>
      </c>
    </row>
    <row r="3970" spans="2:6" x14ac:dyDescent="0.2">
      <c r="B3970" s="30" t="s">
        <v>263</v>
      </c>
      <c r="C3970" s="30" t="s">
        <v>329</v>
      </c>
      <c r="D3970" s="30" t="s">
        <v>591</v>
      </c>
      <c r="E3970" s="101"/>
      <c r="F3970" s="34">
        <f>6.21-0.058-0.36-0.314-0.36-3.124-0.208-0.216-0.56-0.026-0.102+2.163-0.51-0.106-0.554-0.064-0.166-0.024-0.304-0.034-0.046-0.328-0.909+1.183+1.268-0.29+0.382-0.282-0.016-1.184-0.046-0.092-0.022-0.832+1.38+1.248-0.052-0.48+2.97+(0.48)-0.012-0.16-0.088-0.132-0.034-0.03-0.54-0.156-0.116-0.035-0.228-0.084-0.088-0.444-0.054-0.13-0.016-0.072-0.044-0.112-0.632-0.172-0.17-0.11-0.23+0.592-0.386-0.085-0.105-0.104+0.98-0.045-0.11-0.162-0.19-0.252-0.02-0.208-0.066-0.14-(0.053)-0.022-0.17-0.13-0.168-0.068-0.212-0.05+4.465-0.086-0.42-0.3-0.058+2.738-0.33-0.112-0.048-0.022-0.29-0.28-0.064-0.054-0.088-0.646-0.042-0.032-0.082-0.156-0.114-0.084-0.476-0.21-0.166-0.044-0.106-0.046-0.416-0.15-0.104-0.13-0.102-0.656+1.782+1.237-0.01-0.112-(0.051)-0.046-0.81-0.358-0.17-0.112-0.076-0.04+1.545-0.014-0.138-0.03-0.11-0.066-0.092-0.064-0.01-0.114-0.052-0.108-0.054-0.104-0.032-0.56-0.104-0.058-0.156-0.65-0.012-0.334-0.156-0.416-0.128-0.102-0.202-(0.044)-0.048+2.378</f>
        <v>3.0400000000000027</v>
      </c>
    </row>
    <row r="3971" spans="2:6" x14ac:dyDescent="0.2">
      <c r="B3971" s="30" t="s">
        <v>263</v>
      </c>
      <c r="C3971" s="30" t="s">
        <v>329</v>
      </c>
      <c r="D3971" s="30" t="s">
        <v>606</v>
      </c>
      <c r="E3971" s="101"/>
      <c r="F3971" s="34">
        <f>3.512-0.256-0.978-0.058-0.062-0.042-0.256-0.516-0.106-0.138-0.046-0.02-0.35-0.026-0.03-0.07-0.558+3.14-0.7-0.062-0.106-0.156-0.175+1.322-0.09-0.148-0.176-0.054-0.076-0.12-0.038-0.032-0.044-0.794-0.12-0.418-0.342-0.048-0.052-0.106+0.422+0.351+2.399-0.092-0.08-0.404-0.39-0.018+1.68-0.048-0.384-0.25-0.114-0.038-0.134-0.052-0.064-0.108-0.356-0.108-0.034-0.062-0.03-0.104-0.014-0.206-0.102-0.08</f>
        <v>2.1850000000000023</v>
      </c>
    </row>
    <row r="3972" spans="2:6" x14ac:dyDescent="0.2">
      <c r="B3972" s="30" t="s">
        <v>263</v>
      </c>
      <c r="C3972" s="30" t="s">
        <v>329</v>
      </c>
      <c r="D3972" s="30" t="s">
        <v>593</v>
      </c>
      <c r="E3972" s="101"/>
      <c r="F3972" s="233">
        <f>7.464-0.152-0.03-0.182-0.022+2.342-0.042-0.092-0.062-0.092-0.15-0.138-0.108-0.06-0.026-0.09-1.208-0.688-0.332-0.094-0.052-0.034+1.597-0.058+4.605-0.958-0.078-0.564-0.09-0.02-0.024-0.452-1.224-0.158-0.17-0.064-0.046-0.122-0.214-0.156-0.256-0.054-0.066-0.022-0.228-0.15-0.162-0.048-0.128-0.234-0.06-0.302-0.054-0.61-0.078-0.094-0.082-0.438-0.092-0.116+(0.318)-0.068-0.07-0.596-0.202-0.048-0.232-0.024-0.054-0.53-0.196-0.062-0.12</f>
        <v>2.7980000000000018</v>
      </c>
    </row>
    <row r="3973" spans="2:6" x14ac:dyDescent="0.2">
      <c r="B3973" s="30" t="s">
        <v>263</v>
      </c>
      <c r="C3973" s="30" t="s">
        <v>329</v>
      </c>
      <c r="D3973" s="30" t="s">
        <v>1180</v>
      </c>
      <c r="E3973" s="101"/>
      <c r="F3973" s="34">
        <v>0.112</v>
      </c>
    </row>
    <row r="3974" spans="2:6" x14ac:dyDescent="0.2">
      <c r="B3974" s="30" t="s">
        <v>263</v>
      </c>
      <c r="C3974" s="30" t="s">
        <v>329</v>
      </c>
      <c r="D3974" s="30" t="s">
        <v>594</v>
      </c>
      <c r="E3974" s="101"/>
      <c r="F3974" s="34">
        <f>10.905-0.068+2.13-0.024-2.13-0.352-0.538-0.142-0.196-0.18-0.054-0.206-0.198-0.062-3.116-0.29-0.326-0.062-0.25-0.044-0.79-0.07-0.202-0.104-0.24-0.158-0.196-0.05+5.174-0.572-0.074-0.202-0.102-0.082-0.28+(-0.282-0.08)-0.182-4.02-0.056-0.024-0.094-0.088+7.504-1.398-0.302-0.118-0.296-0.26-0.132-0.22-0.064-0.2-0.04-0.074-(0.072)-0.03-0.242-0.218-0.092+10.242-0.02-3.274</f>
        <v>12.717000000000002</v>
      </c>
    </row>
    <row r="3975" spans="2:6" x14ac:dyDescent="0.2">
      <c r="B3975" s="30" t="s">
        <v>263</v>
      </c>
      <c r="C3975" s="30" t="s">
        <v>329</v>
      </c>
      <c r="D3975" s="30" t="s">
        <v>607</v>
      </c>
      <c r="E3975" s="101"/>
      <c r="F3975" s="34">
        <f>(0.256)</f>
        <v>0.25600000000000001</v>
      </c>
    </row>
    <row r="3976" spans="2:6" x14ac:dyDescent="0.2">
      <c r="B3976" s="30" t="s">
        <v>263</v>
      </c>
      <c r="C3976" s="30" t="s">
        <v>329</v>
      </c>
      <c r="D3976" s="30" t="s">
        <v>608</v>
      </c>
      <c r="E3976" s="101"/>
      <c r="F3976" s="34">
        <f>(1.302)+(0.046)-0.21-0.626</f>
        <v>0.51200000000000012</v>
      </c>
    </row>
    <row r="3977" spans="2:6" x14ac:dyDescent="0.2">
      <c r="B3977" s="30" t="s">
        <v>263</v>
      </c>
      <c r="C3977" s="30" t="s">
        <v>329</v>
      </c>
      <c r="D3977" s="30" t="s">
        <v>1181</v>
      </c>
      <c r="E3977" s="101"/>
      <c r="F3977" s="34">
        <f>3.822-0.09-(0.042)-0.076-3.386+15.372-0.132-0.064+9.43-5.436-(0.026)-0.246-0.446+6.36-0.148-0.058</f>
        <v>24.834</v>
      </c>
    </row>
    <row r="3978" spans="2:6" x14ac:dyDescent="0.2">
      <c r="B3978" s="30" t="s">
        <v>263</v>
      </c>
      <c r="C3978" s="30" t="s">
        <v>329</v>
      </c>
      <c r="D3978" s="30" t="s">
        <v>595</v>
      </c>
      <c r="E3978" s="101"/>
      <c r="F3978" s="233">
        <f>7.566-0.508-0.236-1.514-0.294-0.41-0.396+0.872+3.944-0.148-0.5-0.494-0.412-0.034-0.18-0.088-2.41-0.44-0.088-0.076-0.236-0.152-0.744-0.44+0.5-0.032-0.126+10.529-0.114-0.144-1-0.676-0.152-0.116-0.532-0.296-0.076-0.554-0.104-1.186-0.062-0.046-0.308-0.468-0.312-0.118-0.292-0.58-0.068-0.102-0.126-0.948-0.06-0.216-0.95-0.336+2.751-0.018-0.176-0.294-0.2-0.188-0.038-0.104-0.292-0.258+3.054-0.118-0.232-0.318+5.177-0.714-0.35-0.194-0.028-0.028-0.22-0.582-0.384-0.638-4.44-0.174-2.528-0.232-(0.226+0.086)-0.116-0.216-0.104-(0.118)-0.258-(0.018)-(0.048)+1.977-0.056-1.702+8-0.37-0.088-2.636-0.102</f>
        <v>5.5780000000000021</v>
      </c>
    </row>
    <row r="3979" spans="2:6" x14ac:dyDescent="0.2">
      <c r="B3979" s="30" t="s">
        <v>263</v>
      </c>
      <c r="C3979" s="30" t="s">
        <v>329</v>
      </c>
      <c r="D3979" s="30" t="s">
        <v>609</v>
      </c>
      <c r="E3979" s="101"/>
      <c r="F3979" s="233">
        <f>0.796</f>
        <v>0.79600000000000004</v>
      </c>
    </row>
    <row r="3980" spans="2:6" x14ac:dyDescent="0.2">
      <c r="B3980" s="30" t="s">
        <v>263</v>
      </c>
      <c r="C3980" s="30" t="s">
        <v>329</v>
      </c>
      <c r="D3980" s="30" t="s">
        <v>610</v>
      </c>
      <c r="E3980" s="101"/>
      <c r="F3980" s="233">
        <f>(0.538)-0.216-0.018-0.014-0.106-0.076</f>
        <v>0.10800000000000005</v>
      </c>
    </row>
    <row r="3981" spans="2:6" x14ac:dyDescent="0.2">
      <c r="B3981" s="30" t="s">
        <v>263</v>
      </c>
      <c r="C3981" s="30" t="s">
        <v>329</v>
      </c>
      <c r="D3981" s="30" t="s">
        <v>611</v>
      </c>
      <c r="E3981" s="101"/>
      <c r="F3981" s="34">
        <f>(0.056)+(0.054)+(0.058)+(0.056)+(0.052)-0.056-0.108</f>
        <v>0.11200000000000003</v>
      </c>
    </row>
    <row r="3982" spans="2:6" x14ac:dyDescent="0.2">
      <c r="B3982" s="30" t="s">
        <v>263</v>
      </c>
      <c r="C3982" s="30" t="s">
        <v>329</v>
      </c>
      <c r="D3982" s="30" t="s">
        <v>612</v>
      </c>
      <c r="E3982" s="101"/>
      <c r="F3982" s="34">
        <f>0.922-0.492-0.1-0.032-0.144</f>
        <v>0.15400000000000005</v>
      </c>
    </row>
    <row r="3983" spans="2:6" x14ac:dyDescent="0.2">
      <c r="B3983" s="30" t="s">
        <v>263</v>
      </c>
      <c r="C3983" s="30" t="s">
        <v>329</v>
      </c>
      <c r="D3983" s="30" t="s">
        <v>613</v>
      </c>
      <c r="E3983" s="101"/>
      <c r="F3983" s="34">
        <f>(0.15)</f>
        <v>0.15</v>
      </c>
    </row>
    <row r="3984" spans="2:6" x14ac:dyDescent="0.2">
      <c r="B3984" s="30" t="s">
        <v>263</v>
      </c>
      <c r="C3984" s="30" t="s">
        <v>329</v>
      </c>
      <c r="D3984" s="30" t="s">
        <v>614</v>
      </c>
      <c r="E3984" s="101"/>
      <c r="F3984" s="233">
        <v>0.28000000000000003</v>
      </c>
    </row>
    <row r="3985" spans="2:6" x14ac:dyDescent="0.2">
      <c r="B3985" s="30" t="s">
        <v>263</v>
      </c>
      <c r="C3985" s="30" t="s">
        <v>329</v>
      </c>
      <c r="D3985" s="30" t="s">
        <v>615</v>
      </c>
      <c r="E3985" s="112"/>
      <c r="F3985" s="99">
        <v>0.13</v>
      </c>
    </row>
    <row r="3986" spans="2:6" x14ac:dyDescent="0.2">
      <c r="B3986" s="30" t="s">
        <v>263</v>
      </c>
      <c r="C3986" s="30" t="s">
        <v>329</v>
      </c>
      <c r="D3986" s="30" t="s">
        <v>616</v>
      </c>
      <c r="E3986" s="112"/>
      <c r="F3986" s="34">
        <v>0.216</v>
      </c>
    </row>
    <row r="3987" spans="2:6" x14ac:dyDescent="0.2">
      <c r="B3987" s="30" t="s">
        <v>263</v>
      </c>
      <c r="C3987" s="30" t="s">
        <v>329</v>
      </c>
      <c r="D3987" s="30" t="s">
        <v>603</v>
      </c>
      <c r="E3987" s="101"/>
      <c r="F3987" s="34">
        <f>2.386+3.598-1.962-0.774-0.134-(0.118)-0.502-0.198-0.08-0.144-0.126+(-0.134)-0.198-1.198+2.528</f>
        <v>2.9440000000000008</v>
      </c>
    </row>
    <row r="3988" spans="2:6" x14ac:dyDescent="0.2">
      <c r="B3988" s="30" t="s">
        <v>263</v>
      </c>
      <c r="C3988" s="30" t="s">
        <v>329</v>
      </c>
      <c r="D3988" s="30" t="s">
        <v>617</v>
      </c>
      <c r="E3988" s="101"/>
      <c r="F3988" s="34">
        <f>(0.254)</f>
        <v>0.254</v>
      </c>
    </row>
    <row r="3989" spans="2:6" x14ac:dyDescent="0.2">
      <c r="B3989" s="30" t="s">
        <v>263</v>
      </c>
      <c r="C3989" s="30" t="s">
        <v>329</v>
      </c>
      <c r="D3989" s="30" t="s">
        <v>618</v>
      </c>
      <c r="E3989" s="101"/>
      <c r="F3989" s="34">
        <f>2.803-0.48-0.72-0.27-0.262-0.45+2.955-0.878+(-0.038)-0.312-0.296+2.42</f>
        <v>4.4720000000000004</v>
      </c>
    </row>
    <row r="3990" spans="2:6" x14ac:dyDescent="0.2">
      <c r="B3990" s="30" t="s">
        <v>263</v>
      </c>
      <c r="C3990" s="30" t="s">
        <v>329</v>
      </c>
      <c r="D3990" s="30" t="s">
        <v>619</v>
      </c>
      <c r="E3990" s="101"/>
      <c r="F3990" s="34">
        <f>2.512-1.124</f>
        <v>1.3879999999999999</v>
      </c>
    </row>
    <row r="3991" spans="2:6" x14ac:dyDescent="0.2">
      <c r="B3991" s="30" t="s">
        <v>263</v>
      </c>
      <c r="C3991" s="30" t="s">
        <v>329</v>
      </c>
      <c r="D3991" s="30" t="s">
        <v>605</v>
      </c>
      <c r="E3991" s="101"/>
      <c r="F3991" s="34">
        <f>4.234-0.858-0.224-1.316-0.854-(0.02)+2.706</f>
        <v>3.6679999999999997</v>
      </c>
    </row>
    <row r="3992" spans="2:6" x14ac:dyDescent="0.2">
      <c r="B3992" s="30" t="s">
        <v>263</v>
      </c>
      <c r="C3992" s="30" t="s">
        <v>329</v>
      </c>
      <c r="D3992" s="30" t="s">
        <v>1182</v>
      </c>
      <c r="E3992" s="101"/>
      <c r="F3992" s="34">
        <v>4.1820000000000004</v>
      </c>
    </row>
    <row r="3993" spans="2:6" x14ac:dyDescent="0.2">
      <c r="B3993" s="30" t="s">
        <v>263</v>
      </c>
      <c r="C3993" s="30" t="s">
        <v>329</v>
      </c>
      <c r="D3993" s="30" t="s">
        <v>1183</v>
      </c>
      <c r="E3993" s="101"/>
      <c r="F3993" s="34">
        <f>4.316-1.204</f>
        <v>3.1120000000000001</v>
      </c>
    </row>
    <row r="3994" spans="2:6" x14ac:dyDescent="0.2">
      <c r="B3994" s="112" t="s">
        <v>263</v>
      </c>
      <c r="C3994" s="30" t="s">
        <v>819</v>
      </c>
      <c r="D3994" s="112" t="s">
        <v>2601</v>
      </c>
      <c r="E3994" s="25"/>
      <c r="F3994" s="233">
        <v>0.82</v>
      </c>
    </row>
    <row r="3995" spans="2:6" x14ac:dyDescent="0.2">
      <c r="B3995" s="112" t="s">
        <v>263</v>
      </c>
      <c r="C3995" s="30" t="s">
        <v>819</v>
      </c>
      <c r="D3995" s="112" t="s">
        <v>2603</v>
      </c>
      <c r="E3995" s="25"/>
      <c r="F3995" s="233">
        <f>1-0.065-0.007</f>
        <v>0.92800000000000005</v>
      </c>
    </row>
    <row r="3996" spans="2:6" x14ac:dyDescent="0.2">
      <c r="B3996" s="30" t="s">
        <v>263</v>
      </c>
      <c r="C3996" s="30" t="s">
        <v>1534</v>
      </c>
      <c r="D3996" s="30" t="s">
        <v>591</v>
      </c>
      <c r="E3996" s="101"/>
      <c r="F3996" s="34">
        <f>1.378-0.21-0.016-0.116-0.038-0.118-0.342-0.004-0.346+2.046+(0.342)-0.092-0.348-0.018-0.026-0.424-0.086-0.022-0.196-0.112-0.128-0.044-0.246-0.342-0.066-0.268-0.148-(0.01)+(0.08)+(0.172)-0.172+2.216</f>
        <v>2.2960000000000003</v>
      </c>
    </row>
    <row r="3997" spans="2:6" x14ac:dyDescent="0.2">
      <c r="B3997" s="30" t="s">
        <v>263</v>
      </c>
      <c r="C3997" s="30" t="s">
        <v>1534</v>
      </c>
      <c r="D3997" s="30" t="s">
        <v>592</v>
      </c>
      <c r="E3997" s="101"/>
      <c r="F3997" s="34">
        <f>1.845-0.166-0.024-0.26-0.05-0.07</f>
        <v>1.2749999999999999</v>
      </c>
    </row>
    <row r="3998" spans="2:6" x14ac:dyDescent="0.2">
      <c r="B3998" s="30" t="s">
        <v>263</v>
      </c>
      <c r="C3998" s="30" t="s">
        <v>1534</v>
      </c>
      <c r="D3998" s="30" t="s">
        <v>593</v>
      </c>
      <c r="E3998" s="101"/>
      <c r="F3998" s="34">
        <f>3.413-0.04-0.304-0.08-0.104-0.094-0.154-0.078-0.036-0.306-0.076+1.621-1.034-0.026-0.228-0.092-0.062-0.108-0.828-0.3-0.036-0.494+5.15</f>
        <v>5.7040000000000006</v>
      </c>
    </row>
    <row r="3999" spans="2:6" x14ac:dyDescent="0.2">
      <c r="B3999" s="30" t="s">
        <v>263</v>
      </c>
      <c r="C3999" s="30" t="s">
        <v>1534</v>
      </c>
      <c r="D3999" s="30" t="s">
        <v>594</v>
      </c>
      <c r="E3999" s="101"/>
      <c r="F3999" s="34">
        <v>3.1960000000000002</v>
      </c>
    </row>
    <row r="4000" spans="2:6" x14ac:dyDescent="0.2">
      <c r="B4000" s="30" t="s">
        <v>263</v>
      </c>
      <c r="C4000" s="30" t="s">
        <v>1534</v>
      </c>
      <c r="D4000" s="30" t="s">
        <v>595</v>
      </c>
      <c r="E4000" s="101"/>
      <c r="F4000" s="34">
        <v>4.9619999999999997</v>
      </c>
    </row>
    <row r="4001" spans="2:6" x14ac:dyDescent="0.2">
      <c r="B4001" s="30" t="s">
        <v>263</v>
      </c>
      <c r="C4001" s="30" t="s">
        <v>1534</v>
      </c>
      <c r="D4001" s="30" t="s">
        <v>1173</v>
      </c>
      <c r="E4001" s="101"/>
      <c r="F4001" s="34">
        <f>1.674-0.358-0.104-1.138+2.02</f>
        <v>2.0939999999999999</v>
      </c>
    </row>
    <row r="4002" spans="2:6" x14ac:dyDescent="0.2">
      <c r="B4002" s="30" t="s">
        <v>263</v>
      </c>
      <c r="C4002" s="30" t="s">
        <v>1534</v>
      </c>
      <c r="D4002" s="30" t="s">
        <v>596</v>
      </c>
      <c r="E4002" s="101"/>
      <c r="F4002" s="34">
        <f>1.713-1.082-0.088-0.05-0.144-(0.054)+1.268</f>
        <v>1.5630000000000002</v>
      </c>
    </row>
    <row r="4003" spans="2:6" x14ac:dyDescent="0.2">
      <c r="B4003" s="30" t="s">
        <v>263</v>
      </c>
      <c r="C4003" s="30" t="s">
        <v>1534</v>
      </c>
      <c r="D4003" s="30" t="s">
        <v>597</v>
      </c>
      <c r="E4003" s="112"/>
      <c r="F4003" s="34">
        <f>(0.2)</f>
        <v>0.2</v>
      </c>
    </row>
    <row r="4004" spans="2:6" x14ac:dyDescent="0.2">
      <c r="B4004" s="30" t="s">
        <v>263</v>
      </c>
      <c r="C4004" s="30" t="s">
        <v>1534</v>
      </c>
      <c r="D4004" s="30" t="s">
        <v>598</v>
      </c>
      <c r="E4004" s="112"/>
      <c r="F4004" s="34">
        <f>2.842-0.166-0.216-0.274-0.55-(0.2)-0.198-0.242-0.416+1.912</f>
        <v>2.492</v>
      </c>
    </row>
    <row r="4005" spans="2:6" x14ac:dyDescent="0.2">
      <c r="B4005" s="30" t="s">
        <v>263</v>
      </c>
      <c r="C4005" s="30" t="s">
        <v>1534</v>
      </c>
      <c r="D4005" s="30" t="s">
        <v>599</v>
      </c>
      <c r="E4005" s="101"/>
      <c r="F4005" s="34">
        <f>2.07-0.126-0.826-0.22-(0.211)+1.798</f>
        <v>2.4849999999999999</v>
      </c>
    </row>
    <row r="4006" spans="2:6" x14ac:dyDescent="0.2">
      <c r="B4006" s="30" t="s">
        <v>263</v>
      </c>
      <c r="C4006" s="30" t="s">
        <v>1534</v>
      </c>
      <c r="D4006" s="30" t="s">
        <v>600</v>
      </c>
      <c r="E4006" s="101"/>
      <c r="F4006" s="99">
        <f>1.82-0.084-1.26-0.084</f>
        <v>0.39199999999999996</v>
      </c>
    </row>
    <row r="4007" spans="2:6" x14ac:dyDescent="0.2">
      <c r="B4007" s="30" t="s">
        <v>263</v>
      </c>
      <c r="C4007" s="30" t="s">
        <v>1534</v>
      </c>
      <c r="D4007" s="30" t="s">
        <v>601</v>
      </c>
      <c r="E4007" s="101"/>
      <c r="F4007" s="99">
        <f>1.015-0.21</f>
        <v>0.80499999999999994</v>
      </c>
    </row>
    <row r="4008" spans="2:6" x14ac:dyDescent="0.2">
      <c r="B4008" s="30" t="s">
        <v>263</v>
      </c>
      <c r="C4008" s="30" t="s">
        <v>1534</v>
      </c>
      <c r="D4008" s="30" t="s">
        <v>602</v>
      </c>
      <c r="E4008" s="101"/>
      <c r="F4008" s="99">
        <v>1.97</v>
      </c>
    </row>
    <row r="4009" spans="2:6" x14ac:dyDescent="0.2">
      <c r="B4009" s="30" t="s">
        <v>263</v>
      </c>
      <c r="C4009" s="30" t="s">
        <v>1534</v>
      </c>
      <c r="D4009" s="30" t="s">
        <v>603</v>
      </c>
      <c r="E4009" s="101"/>
      <c r="F4009" s="99">
        <f>2.465-1.646</f>
        <v>0.81899999999999995</v>
      </c>
    </row>
    <row r="4010" spans="2:6" x14ac:dyDescent="0.2">
      <c r="B4010" s="30" t="s">
        <v>263</v>
      </c>
      <c r="C4010" s="30" t="s">
        <v>1534</v>
      </c>
      <c r="D4010" s="30" t="s">
        <v>604</v>
      </c>
      <c r="E4010" s="101"/>
      <c r="F4010" s="99">
        <f>2.628</f>
        <v>2.6280000000000001</v>
      </c>
    </row>
    <row r="4011" spans="2:6" x14ac:dyDescent="0.2">
      <c r="B4011" s="30" t="s">
        <v>263</v>
      </c>
      <c r="C4011" s="30" t="s">
        <v>1534</v>
      </c>
      <c r="D4011" s="30" t="s">
        <v>605</v>
      </c>
      <c r="E4011" s="101"/>
      <c r="F4011" s="99">
        <v>2.5459999999999998</v>
      </c>
    </row>
    <row r="4012" spans="2:6" x14ac:dyDescent="0.2">
      <c r="B4012" s="112" t="s">
        <v>263</v>
      </c>
      <c r="C4012" s="30" t="s">
        <v>1534</v>
      </c>
      <c r="D4012" s="112">
        <v>60</v>
      </c>
      <c r="E4012" s="25"/>
      <c r="F4012" s="233">
        <f>0.45-0.15</f>
        <v>0.30000000000000004</v>
      </c>
    </row>
    <row r="4013" spans="2:6" x14ac:dyDescent="0.2">
      <c r="B4013" s="112" t="s">
        <v>263</v>
      </c>
      <c r="C4013" s="30" t="s">
        <v>1534</v>
      </c>
      <c r="D4013" s="112">
        <v>65</v>
      </c>
      <c r="E4013" s="25"/>
      <c r="F4013" s="233"/>
    </row>
    <row r="4014" spans="2:6" x14ac:dyDescent="0.2">
      <c r="B4014" s="112" t="s">
        <v>263</v>
      </c>
      <c r="C4014" s="30" t="s">
        <v>1534</v>
      </c>
      <c r="D4014" s="112">
        <v>75</v>
      </c>
      <c r="E4014" s="101"/>
      <c r="F4014" s="233"/>
    </row>
    <row r="4015" spans="2:6" x14ac:dyDescent="0.2">
      <c r="B4015" s="112" t="s">
        <v>263</v>
      </c>
      <c r="C4015" s="30" t="s">
        <v>1534</v>
      </c>
      <c r="D4015" s="112">
        <v>80</v>
      </c>
      <c r="E4015" s="101"/>
      <c r="F4015" s="99"/>
    </row>
    <row r="4016" spans="2:6" x14ac:dyDescent="0.2">
      <c r="B4016" s="112" t="s">
        <v>263</v>
      </c>
      <c r="C4016" s="30"/>
      <c r="D4016" s="112">
        <v>50</v>
      </c>
      <c r="E4016" s="101"/>
      <c r="F4016" s="99">
        <v>0.92</v>
      </c>
    </row>
    <row r="4017" spans="2:6" x14ac:dyDescent="0.2">
      <c r="B4017" s="30" t="s">
        <v>2425</v>
      </c>
      <c r="C4017" s="30" t="s">
        <v>359</v>
      </c>
      <c r="D4017" s="30" t="s">
        <v>2426</v>
      </c>
      <c r="E4017" s="101">
        <v>0.96</v>
      </c>
      <c r="F4017" s="233">
        <f>3.104+1.532-3.104-0.166-0.166-0.772</f>
        <v>0.42800000000000016</v>
      </c>
    </row>
    <row r="4018" spans="2:6" x14ac:dyDescent="0.2">
      <c r="B4018" s="30" t="s">
        <v>2425</v>
      </c>
      <c r="C4018" s="30" t="s">
        <v>359</v>
      </c>
      <c r="D4018" s="30" t="s">
        <v>2427</v>
      </c>
      <c r="E4018" s="101">
        <v>2.59</v>
      </c>
      <c r="F4018" s="233">
        <f>3.36+2.124-3.36-0.206-0.41-0.118</f>
        <v>1.3900000000000001</v>
      </c>
    </row>
    <row r="4019" spans="2:6" x14ac:dyDescent="0.2">
      <c r="B4019" s="30" t="s">
        <v>2425</v>
      </c>
      <c r="C4019" s="30" t="s">
        <v>359</v>
      </c>
      <c r="D4019" s="30" t="s">
        <v>2428</v>
      </c>
      <c r="E4019" s="101">
        <v>2.59</v>
      </c>
      <c r="F4019" s="233">
        <f>0.676+0.65+0.67-0.04-0.058-0.65</f>
        <v>1.2479999999999998</v>
      </c>
    </row>
    <row r="4020" spans="2:6" x14ac:dyDescent="0.2">
      <c r="B4020" s="30" t="s">
        <v>2425</v>
      </c>
      <c r="C4020" s="30" t="s">
        <v>359</v>
      </c>
      <c r="D4020" s="30" t="s">
        <v>2429</v>
      </c>
      <c r="E4020" s="101">
        <v>0.96</v>
      </c>
      <c r="F4020" s="233">
        <f>2.263-2.263-0.742+2.59+2.522-1.85-0.464-0.14-1.206</f>
        <v>0.70999999999999908</v>
      </c>
    </row>
    <row r="4021" spans="2:6" x14ac:dyDescent="0.2">
      <c r="B4021" s="30" t="s">
        <v>2425</v>
      </c>
      <c r="C4021" s="30" t="s">
        <v>686</v>
      </c>
      <c r="D4021" s="30" t="s">
        <v>2631</v>
      </c>
      <c r="E4021" s="101" t="s">
        <v>2718</v>
      </c>
      <c r="F4021" s="34">
        <f>5.046-3.01-0.542-0.16-(0.394)-0.648-0.152+2.47-0.232-0.932-0.334-0.198+2.906-0.76-0.976-1.73+5.274-0.268-(0.102)-0.182</f>
        <v>5.0759999999999996</v>
      </c>
    </row>
    <row r="4022" spans="2:6" x14ac:dyDescent="0.2">
      <c r="B4022" s="30" t="s">
        <v>2425</v>
      </c>
      <c r="C4022" s="30" t="s">
        <v>686</v>
      </c>
      <c r="D4022" s="30" t="s">
        <v>2632</v>
      </c>
      <c r="E4022" s="101" t="s">
        <v>2719</v>
      </c>
      <c r="F4022" s="34">
        <f>5.142-1.656-0.868+2.506-0.272-0.208-0.418-2.934-0.562-0.116-0.354+5.11-0.214-0.294</f>
        <v>4.8620000000000001</v>
      </c>
    </row>
    <row r="4023" spans="2:6" x14ac:dyDescent="0.2">
      <c r="B4023" s="30" t="s">
        <v>2425</v>
      </c>
      <c r="C4023" s="30" t="s">
        <v>686</v>
      </c>
      <c r="D4023" s="30" t="s">
        <v>2633</v>
      </c>
      <c r="E4023" s="101" t="s">
        <v>2720</v>
      </c>
      <c r="F4023" s="34">
        <f>2.568-0.878+4.954-0.55-0.282-0.776-0.524+1.964-0.136-(0.138)-0.236-0.53-1.172-0.37+2.246-0.51-1.426+1.426-(0.01)-1.416</f>
        <v>4.2040000000000006</v>
      </c>
    </row>
    <row r="4024" spans="2:6" x14ac:dyDescent="0.2">
      <c r="B4024" s="30" t="s">
        <v>2425</v>
      </c>
      <c r="C4024" s="30" t="s">
        <v>686</v>
      </c>
      <c r="D4024" s="30" t="s">
        <v>2634</v>
      </c>
      <c r="E4024" s="101">
        <v>2.14</v>
      </c>
      <c r="F4024" s="233">
        <f>6.652-0.34-0.846-1.75-0.438-2.882-0.322-(0.074)+1.619-0.708+2.366-0.464</f>
        <v>2.8130000000000002</v>
      </c>
    </row>
    <row r="4025" spans="2:6" x14ac:dyDescent="0.2">
      <c r="B4025" s="30" t="s">
        <v>2425</v>
      </c>
      <c r="C4025" s="30" t="s">
        <v>686</v>
      </c>
      <c r="D4025" s="30" t="s">
        <v>2635</v>
      </c>
      <c r="E4025" s="101"/>
      <c r="F4025" s="99">
        <f>(0.658)-0.418-(0.116)</f>
        <v>0.12400000000000004</v>
      </c>
    </row>
    <row r="4026" spans="2:6" x14ac:dyDescent="0.2">
      <c r="B4026" s="30" t="s">
        <v>2425</v>
      </c>
      <c r="C4026" s="30" t="s">
        <v>686</v>
      </c>
      <c r="D4026" s="30" t="s">
        <v>2636</v>
      </c>
      <c r="E4026" s="101">
        <v>4.71</v>
      </c>
      <c r="F4026" s="34">
        <v>4.5339999999999998</v>
      </c>
    </row>
    <row r="4027" spans="2:6" x14ac:dyDescent="0.2">
      <c r="B4027" s="30" t="s">
        <v>2425</v>
      </c>
      <c r="C4027" s="30" t="s">
        <v>686</v>
      </c>
      <c r="D4027" s="30" t="s">
        <v>2637</v>
      </c>
      <c r="E4027" s="101"/>
      <c r="F4027" s="34">
        <f>(0.136)</f>
        <v>0.13600000000000001</v>
      </c>
    </row>
    <row r="4028" spans="2:6" x14ac:dyDescent="0.2">
      <c r="B4028" s="30" t="s">
        <v>2425</v>
      </c>
      <c r="C4028" s="30" t="s">
        <v>686</v>
      </c>
      <c r="D4028" s="30" t="s">
        <v>2638</v>
      </c>
      <c r="E4028" s="101">
        <v>2.25</v>
      </c>
      <c r="F4028" s="34">
        <f>2.386+4.078</f>
        <v>6.4640000000000004</v>
      </c>
    </row>
    <row r="4029" spans="2:6" x14ac:dyDescent="0.2">
      <c r="B4029" s="30" t="s">
        <v>2425</v>
      </c>
      <c r="C4029" s="30" t="s">
        <v>686</v>
      </c>
      <c r="D4029" s="30" t="s">
        <v>2639</v>
      </c>
      <c r="E4029" s="101"/>
      <c r="F4029" s="34">
        <f>(0.258)</f>
        <v>0.25800000000000001</v>
      </c>
    </row>
    <row r="4030" spans="2:6" x14ac:dyDescent="0.2">
      <c r="B4030" s="30" t="s">
        <v>2425</v>
      </c>
      <c r="C4030" s="30" t="s">
        <v>329</v>
      </c>
      <c r="D4030" s="30" t="s">
        <v>2624</v>
      </c>
      <c r="E4030" s="101"/>
      <c r="F4030" s="233">
        <f>0.945-0.534+1.986+0.792-0.144-0.6-0.566-0.088-0.072-0.362-0.37-(0.078)-(0.075)+1.11-0.185-0.178-0.08-1.246-0.08-0.63-0.134-(0.041)+4.582-0.768-0.605-0.86-0.075-0.54-0.526-0.298-0.634+1.782-0.864+2.42-0.308-0.134-0.144+3.603-0.264-0.154-0.12-0.176-0.536-0.17-0.055+2.833-0.104-0.356-0.498-0.422-0.212-0.054-0.332-0.306-0.046-0.142-0.142-0.018-(0.04)+1.99-0.364-0.106+5.848-0.21-0.796-0.072-0.096-0.068-0.744-0.368-0.208-0.818-0.05-0.084+2.055-0.758-0.172-0.146-0.56-0.426-0.082-0.142-0.048-0.182-0.076-0.7-0.354-0.154-0.068-0.074-0.448-0.172-0.068-0.538-0.06-0.338-0.156-0.132-0.072-0.066-0.134-0.108-0.214-0.034-1.506-0.054-0.458-0.292-0.074-0.194-0.046-0.128-0.102-0.582+(0.028)-0.15-0.142+1.674-0.12-0.674-0.152-0.844</f>
        <v>0.29799999999999882</v>
      </c>
    </row>
    <row r="4031" spans="2:6" x14ac:dyDescent="0.2">
      <c r="B4031" s="30" t="s">
        <v>2425</v>
      </c>
      <c r="C4031" s="30" t="s">
        <v>329</v>
      </c>
      <c r="D4031" s="30" t="s">
        <v>2624</v>
      </c>
      <c r="E4031" s="101"/>
      <c r="F4031" s="233">
        <f>2.62-1.236+(0.886)+1.208-0.34-0.054</f>
        <v>3.0840000000000001</v>
      </c>
    </row>
    <row r="4032" spans="2:6" x14ac:dyDescent="0.2">
      <c r="B4032" s="30" t="s">
        <v>2425</v>
      </c>
      <c r="C4032" s="30" t="s">
        <v>329</v>
      </c>
      <c r="D4032" s="30" t="s">
        <v>2625</v>
      </c>
      <c r="E4032" s="112"/>
      <c r="F4032" s="34">
        <f>2.762+0.995+1.146-1.988-0.328+1.106-1.276+3.422-0.49-1-0.82-0.97+(0.99)-0.288-0.204-0.124-0.99-0.646-0.696-0.14+0.997-1-0.212-0.06+2.24-0.09-0.13-0.405-0.085-0.092-0.218-0.07-0.192-0.494+5.184-1.046-(0.538)-0.396+3.071-0.118-2.128-0.13-0.108-0.086-0.068+2.396-0.194-(0.116)-0.14-0.292-0.356-0.774+1.126-0.116-0.196-0.066-0.476-0.064-0.03-1.212-0.232-0.128-0.482-1.464+1.684+1.94-0.224+3.147-0.124-0.086-0.955-0.1-0.384-0.606-0.408-0.234+2.15-0.064-1.018-0.166-0.12-0.328-0.2-0.2-0.19-0.226-0.088-0.2-0.16-0.114-0.24-0.532-0.124-0.338-0.088-1.342-0.372-0.104-0.18-0.16</f>
        <v>0.71699999999999864</v>
      </c>
    </row>
    <row r="4033" spans="2:6" x14ac:dyDescent="0.2">
      <c r="B4033" s="30" t="s">
        <v>2425</v>
      </c>
      <c r="C4033" s="30" t="s">
        <v>329</v>
      </c>
      <c r="D4033" s="30" t="s">
        <v>1173</v>
      </c>
      <c r="E4033" s="112"/>
      <c r="F4033" s="34">
        <f>1.404+2.516-0.32-1.006-0.3-1.405-0.18+1.405-0.17-0.52-0.18-0.446+2.068+3.52-0.07-0.334-0.17+3.665-0.204-1.338+0.09-0.258-0.356-0.044-0.152-0.218+1.37-0.322+1.223-0.192-1.374-0.222-0.122-0.222-0.036-1.086-0.07-0.094-0.084-0.102-0.09-0.05-0.078-0.49-0.048-0.102-0.196-0.044-0.079-0.528-0.092-0.308-0.984-0.068-0.176-(0.3)-0.166-0.122-0.054-0.178-0.194-0.04-0.11-0.286-(0.15)-0.562</f>
        <v>0.16900000000000104</v>
      </c>
    </row>
    <row r="4034" spans="2:6" x14ac:dyDescent="0.2">
      <c r="B4034" s="30" t="s">
        <v>2425</v>
      </c>
      <c r="C4034" s="30" t="s">
        <v>329</v>
      </c>
      <c r="D4034" s="30" t="s">
        <v>596</v>
      </c>
      <c r="E4034" s="112"/>
      <c r="F4034" s="233">
        <f>3.282-0.68-0.134</f>
        <v>2.468</v>
      </c>
    </row>
    <row r="4035" spans="2:6" x14ac:dyDescent="0.2">
      <c r="B4035" s="30" t="s">
        <v>2425</v>
      </c>
      <c r="C4035" s="30" t="s">
        <v>329</v>
      </c>
      <c r="D4035" s="30" t="s">
        <v>598</v>
      </c>
      <c r="E4035" s="112"/>
      <c r="F4035" s="99">
        <f>3.138-0.066</f>
        <v>3.0720000000000001</v>
      </c>
    </row>
    <row r="4036" spans="2:6" x14ac:dyDescent="0.2">
      <c r="B4036" s="30" t="s">
        <v>2425</v>
      </c>
      <c r="C4036" s="30" t="s">
        <v>329</v>
      </c>
      <c r="D4036" s="30" t="s">
        <v>2628</v>
      </c>
      <c r="E4036" s="112"/>
      <c r="F4036" s="34">
        <f>1.512+1.59-0.59-1.004-0.152+1.184-0.296-0.23-(0.172)-0.782-0.052-(0.094)-0.06-0.39-(0.102)-(0.102)-0.26+1.535-0.212+1.72+1.596-0.134-0.136-0.445+1.578-0.434-1.716-0.206+(1.716)-1.37-0.12+1.646-0.14-1.045-0.895-0.22-0.152-0.12-(0.07+0.088+0.302)-(0.216)+1.705-0.694-0.188-0.18-0.208-0.444-0.76+3.745-0.412-0.066+(0.166)-0.154-1.768-(0.044)-0.248-0.454-0.772-0.168-0.114</f>
        <v>0.71200000000000063</v>
      </c>
    </row>
    <row r="4037" spans="2:6" x14ac:dyDescent="0.2">
      <c r="B4037" s="30" t="s">
        <v>2425</v>
      </c>
      <c r="C4037" s="30" t="s">
        <v>329</v>
      </c>
      <c r="D4037" s="30" t="s">
        <v>2630</v>
      </c>
      <c r="E4037" s="112"/>
      <c r="F4037" s="34">
        <f>1.875-0.17-0.132+2.4-0.108-0.64-0.024-0.272-0.692-0.44-0.33-0.446-0.116-0.226-0.404</f>
        <v>0.27499999999999925</v>
      </c>
    </row>
    <row r="4038" spans="2:6" x14ac:dyDescent="0.2">
      <c r="B4038" s="30" t="s">
        <v>2425</v>
      </c>
      <c r="C4038" s="30" t="s">
        <v>329</v>
      </c>
      <c r="D4038" s="30" t="s">
        <v>2631</v>
      </c>
      <c r="E4038" s="112"/>
      <c r="F4038" s="34">
        <f>1.678-0.09-0.375-0.252-0.685+3.834-0.29-0.295-(0.144)-(0.164)-0.246-0.472-0.266-0.16-(0.064)+2.488-0.684-0.346-2.042-0.178-0.156-0.118-(0.256)+(0.003)+2.442</f>
        <v>3.161999999999999</v>
      </c>
    </row>
    <row r="4039" spans="2:6" x14ac:dyDescent="0.2">
      <c r="B4039" s="30" t="s">
        <v>2425</v>
      </c>
      <c r="C4039" s="30" t="s">
        <v>329</v>
      </c>
      <c r="D4039" s="30" t="s">
        <v>2632</v>
      </c>
      <c r="E4039" s="112"/>
      <c r="F4039" s="34">
        <f>1.988-0.194-1.606-0.188+2.552-0.774-1.086+1.74-0.63-1.27+1.732+2.468-0.22-0.186-(0.186)-0.188-1.16-0.13-(0.134)-0.176-(0.062)-0.154-0.442-0.764-(0.164)-0.428+4.523-0.66-0.26-1.408-0.076+(-0.177)-0.456-1.636+2.512-0.588</f>
        <v>2.112000000000001</v>
      </c>
    </row>
    <row r="4040" spans="2:6" x14ac:dyDescent="0.2">
      <c r="B4040" s="30" t="s">
        <v>2425</v>
      </c>
      <c r="C4040" s="30" t="s">
        <v>329</v>
      </c>
      <c r="D4040" s="30" t="s">
        <v>2664</v>
      </c>
      <c r="E4040" s="112"/>
      <c r="F4040" s="34">
        <f>2.126-1.064</f>
        <v>1.0619999999999998</v>
      </c>
    </row>
    <row r="4041" spans="2:6" x14ac:dyDescent="0.2">
      <c r="B4041" s="234" t="s">
        <v>831</v>
      </c>
      <c r="C4041" s="94">
        <v>70</v>
      </c>
      <c r="D4041" s="234">
        <v>0.5</v>
      </c>
      <c r="E4041" s="70"/>
      <c r="F4041" s="70">
        <v>0.12</v>
      </c>
    </row>
    <row r="4042" spans="2:6" x14ac:dyDescent="0.2">
      <c r="B4042" s="234" t="s">
        <v>831</v>
      </c>
      <c r="C4042" s="94" t="s">
        <v>833</v>
      </c>
      <c r="D4042" s="234">
        <v>1.2</v>
      </c>
      <c r="E4042" s="70"/>
      <c r="F4042" s="70">
        <v>0.54</v>
      </c>
    </row>
    <row r="4043" spans="2:6" x14ac:dyDescent="0.2">
      <c r="B4043" s="234" t="s">
        <v>831</v>
      </c>
      <c r="C4043" s="179" t="s">
        <v>281</v>
      </c>
      <c r="D4043" s="59">
        <v>0.1</v>
      </c>
      <c r="E4043" s="97"/>
      <c r="F4043" s="4">
        <v>283</v>
      </c>
    </row>
    <row r="4044" spans="2:6" x14ac:dyDescent="0.2">
      <c r="B4044" s="112" t="s">
        <v>831</v>
      </c>
      <c r="C4044" s="30" t="s">
        <v>281</v>
      </c>
      <c r="D4044" s="112" t="s">
        <v>2605</v>
      </c>
      <c r="E4044" s="183"/>
      <c r="F4044" s="233">
        <f>0.303+0.417</f>
        <v>0.72</v>
      </c>
    </row>
    <row r="4045" spans="2:6" x14ac:dyDescent="0.2">
      <c r="B4045" s="234" t="s">
        <v>831</v>
      </c>
      <c r="C4045" s="94" t="s">
        <v>832</v>
      </c>
      <c r="D4045" s="234">
        <v>8</v>
      </c>
      <c r="E4045" s="70"/>
      <c r="F4045" s="70">
        <v>0.03</v>
      </c>
    </row>
    <row r="4046" spans="2:6" x14ac:dyDescent="0.2">
      <c r="B4046" s="234" t="s">
        <v>831</v>
      </c>
      <c r="C4046" s="94" t="s">
        <v>847</v>
      </c>
      <c r="D4046" s="234">
        <v>8</v>
      </c>
      <c r="E4046" s="70"/>
      <c r="F4046" s="70">
        <v>0.1</v>
      </c>
    </row>
    <row r="4047" spans="2:6" x14ac:dyDescent="0.2">
      <c r="B4047" s="234" t="s">
        <v>831</v>
      </c>
      <c r="C4047" s="94" t="s">
        <v>834</v>
      </c>
      <c r="D4047" s="234">
        <v>5</v>
      </c>
      <c r="E4047" s="70"/>
      <c r="F4047" s="70">
        <v>0.06</v>
      </c>
    </row>
    <row r="4048" spans="2:6" x14ac:dyDescent="0.2">
      <c r="B4048" s="4" t="s">
        <v>354</v>
      </c>
      <c r="C4048" s="175">
        <v>10</v>
      </c>
      <c r="D4048" s="63" t="s">
        <v>143</v>
      </c>
      <c r="E4048" s="4" t="s">
        <v>144</v>
      </c>
      <c r="F4048" s="38">
        <v>2.85</v>
      </c>
    </row>
    <row r="4049" spans="2:6" x14ac:dyDescent="0.2">
      <c r="B4049" s="4" t="s">
        <v>354</v>
      </c>
      <c r="C4049" s="175">
        <v>20</v>
      </c>
      <c r="D4049" s="63" t="s">
        <v>55</v>
      </c>
      <c r="E4049" s="4">
        <v>4.8</v>
      </c>
      <c r="F4049" s="38">
        <v>1</v>
      </c>
    </row>
    <row r="4050" spans="2:6" x14ac:dyDescent="0.2">
      <c r="B4050" s="4" t="s">
        <v>354</v>
      </c>
      <c r="C4050" s="175">
        <v>20</v>
      </c>
      <c r="D4050" s="63" t="s">
        <v>848</v>
      </c>
      <c r="E4050" s="4"/>
      <c r="F4050" s="38">
        <v>0.23100000000000001</v>
      </c>
    </row>
    <row r="4051" spans="2:6" x14ac:dyDescent="0.2">
      <c r="B4051" s="4" t="s">
        <v>354</v>
      </c>
      <c r="C4051" s="175">
        <v>20</v>
      </c>
      <c r="D4051" s="63" t="s">
        <v>718</v>
      </c>
      <c r="E4051" s="4"/>
      <c r="F4051" s="38">
        <v>0.14000000000000001</v>
      </c>
    </row>
    <row r="4052" spans="2:6" x14ac:dyDescent="0.2">
      <c r="B4052" s="4" t="s">
        <v>354</v>
      </c>
      <c r="C4052" s="175">
        <v>20</v>
      </c>
      <c r="D4052" s="63" t="s">
        <v>719</v>
      </c>
      <c r="E4052" s="4"/>
      <c r="F4052" s="38">
        <v>0.42</v>
      </c>
    </row>
    <row r="4053" spans="2:6" x14ac:dyDescent="0.2">
      <c r="B4053" s="4" t="s">
        <v>354</v>
      </c>
      <c r="C4053" s="175">
        <v>20</v>
      </c>
      <c r="D4053" s="63" t="s">
        <v>849</v>
      </c>
      <c r="E4053" s="4"/>
      <c r="F4053" s="38">
        <v>0.14099999999999999</v>
      </c>
    </row>
    <row r="4054" spans="2:6" x14ac:dyDescent="0.2">
      <c r="B4054" s="4" t="s">
        <v>354</v>
      </c>
      <c r="C4054" s="175">
        <v>35</v>
      </c>
      <c r="D4054" s="63" t="s">
        <v>180</v>
      </c>
      <c r="E4054" s="4" t="s">
        <v>181</v>
      </c>
      <c r="F4054" s="38">
        <v>0.19</v>
      </c>
    </row>
    <row r="4055" spans="2:6" x14ac:dyDescent="0.2">
      <c r="B4055" s="4" t="s">
        <v>354</v>
      </c>
      <c r="C4055" s="175">
        <v>35</v>
      </c>
      <c r="D4055" s="63" t="s">
        <v>54</v>
      </c>
      <c r="E4055" s="4">
        <v>4.8</v>
      </c>
      <c r="F4055" s="38">
        <v>2.08</v>
      </c>
    </row>
    <row r="4056" spans="2:6" x14ac:dyDescent="0.2">
      <c r="B4056" s="4" t="s">
        <v>354</v>
      </c>
      <c r="C4056" s="175">
        <v>35</v>
      </c>
      <c r="D4056" s="63" t="s">
        <v>183</v>
      </c>
      <c r="E4056" s="4" t="s">
        <v>166</v>
      </c>
      <c r="F4056" s="38">
        <v>0.15</v>
      </c>
    </row>
    <row r="4057" spans="2:6" x14ac:dyDescent="0.2">
      <c r="B4057" s="4" t="s">
        <v>354</v>
      </c>
      <c r="C4057" s="175">
        <v>35</v>
      </c>
      <c r="D4057" s="63" t="s">
        <v>184</v>
      </c>
      <c r="E4057" s="4">
        <v>4.9000000000000004</v>
      </c>
      <c r="F4057" s="38">
        <v>2.76</v>
      </c>
    </row>
    <row r="4058" spans="2:6" x14ac:dyDescent="0.2">
      <c r="B4058" s="4" t="s">
        <v>354</v>
      </c>
      <c r="C4058" s="175">
        <v>35</v>
      </c>
      <c r="D4058" s="63" t="s">
        <v>57</v>
      </c>
      <c r="E4058" s="4" t="s">
        <v>300</v>
      </c>
      <c r="F4058" s="38">
        <v>2.0099999999999998</v>
      </c>
    </row>
    <row r="4059" spans="2:6" x14ac:dyDescent="0.2">
      <c r="B4059" s="4" t="s">
        <v>354</v>
      </c>
      <c r="C4059" s="175">
        <v>45</v>
      </c>
      <c r="D4059" s="63" t="s">
        <v>53</v>
      </c>
      <c r="E4059" s="4" t="s">
        <v>728</v>
      </c>
      <c r="F4059" s="38">
        <v>1.07</v>
      </c>
    </row>
    <row r="4060" spans="2:6" x14ac:dyDescent="0.2">
      <c r="B4060" s="4" t="s">
        <v>354</v>
      </c>
      <c r="C4060" s="175">
        <v>45</v>
      </c>
      <c r="D4060" s="63" t="s">
        <v>55</v>
      </c>
      <c r="E4060" s="4">
        <v>4.7</v>
      </c>
      <c r="F4060" s="38">
        <v>2.2799999999999998</v>
      </c>
    </row>
    <row r="4061" spans="2:6" x14ac:dyDescent="0.2">
      <c r="B4061" s="4" t="s">
        <v>354</v>
      </c>
      <c r="C4061" s="175">
        <v>45</v>
      </c>
      <c r="D4061" s="63" t="s">
        <v>182</v>
      </c>
      <c r="E4061" s="4">
        <v>4.7</v>
      </c>
      <c r="F4061" s="38">
        <v>1.1000000000000001</v>
      </c>
    </row>
    <row r="4062" spans="2:6" x14ac:dyDescent="0.2">
      <c r="B4062" s="4" t="s">
        <v>354</v>
      </c>
      <c r="C4062" s="175">
        <v>45</v>
      </c>
      <c r="D4062" s="63" t="s">
        <v>56</v>
      </c>
      <c r="E4062" s="4">
        <v>4.5999999999999996</v>
      </c>
      <c r="F4062" s="38">
        <v>4.6900000000000004</v>
      </c>
    </row>
    <row r="4063" spans="2:6" x14ac:dyDescent="0.2">
      <c r="B4063" s="4" t="s">
        <v>354</v>
      </c>
      <c r="C4063" s="175">
        <v>45</v>
      </c>
      <c r="D4063" s="63" t="s">
        <v>184</v>
      </c>
      <c r="E4063" s="4" t="s">
        <v>300</v>
      </c>
      <c r="F4063" s="38">
        <v>2.2000000000000002</v>
      </c>
    </row>
    <row r="4064" spans="2:6" x14ac:dyDescent="0.2">
      <c r="B4064" s="4" t="s">
        <v>354</v>
      </c>
      <c r="C4064" s="175">
        <v>45</v>
      </c>
      <c r="D4064" s="63" t="s">
        <v>184</v>
      </c>
      <c r="E4064" s="4" t="s">
        <v>185</v>
      </c>
      <c r="F4064" s="38">
        <v>2.62</v>
      </c>
    </row>
    <row r="4065" spans="2:6" x14ac:dyDescent="0.2">
      <c r="B4065" s="4" t="s">
        <v>354</v>
      </c>
      <c r="C4065" s="175">
        <v>45</v>
      </c>
      <c r="D4065" s="63" t="s">
        <v>59</v>
      </c>
      <c r="E4065" s="4" t="s">
        <v>300</v>
      </c>
      <c r="F4065" s="38">
        <v>0.75</v>
      </c>
    </row>
    <row r="4066" spans="2:6" x14ac:dyDescent="0.2">
      <c r="B4066" s="4" t="s">
        <v>354</v>
      </c>
      <c r="C4066" s="175">
        <v>45</v>
      </c>
      <c r="D4066" s="63" t="s">
        <v>657</v>
      </c>
      <c r="E4066" s="4" t="s">
        <v>729</v>
      </c>
      <c r="F4066" s="38">
        <v>0.22</v>
      </c>
    </row>
    <row r="4067" spans="2:6" x14ac:dyDescent="0.2">
      <c r="B4067" s="4" t="s">
        <v>354</v>
      </c>
      <c r="C4067" s="175">
        <v>45</v>
      </c>
      <c r="D4067" s="63" t="s">
        <v>717</v>
      </c>
      <c r="E4067" s="4"/>
      <c r="F4067" s="38">
        <v>0.27</v>
      </c>
    </row>
    <row r="4068" spans="2:6" x14ac:dyDescent="0.2">
      <c r="B4068" s="4" t="s">
        <v>354</v>
      </c>
      <c r="C4068" s="175">
        <v>45</v>
      </c>
      <c r="D4068" s="63" t="s">
        <v>720</v>
      </c>
      <c r="E4068" s="4"/>
      <c r="F4068" s="38">
        <v>0.15</v>
      </c>
    </row>
    <row r="4069" spans="2:6" x14ac:dyDescent="0.2">
      <c r="B4069" s="4" t="s">
        <v>354</v>
      </c>
      <c r="C4069" s="175">
        <v>45</v>
      </c>
      <c r="D4069" s="63" t="s">
        <v>721</v>
      </c>
      <c r="E4069" s="4"/>
      <c r="F4069" s="38">
        <v>0.874</v>
      </c>
    </row>
    <row r="4070" spans="2:6" x14ac:dyDescent="0.2">
      <c r="B4070" s="4" t="s">
        <v>354</v>
      </c>
      <c r="C4070" s="175">
        <v>45</v>
      </c>
      <c r="D4070" s="63" t="s">
        <v>722</v>
      </c>
      <c r="E4070" s="4"/>
      <c r="F4070" s="38">
        <v>0.112</v>
      </c>
    </row>
    <row r="4071" spans="2:6" x14ac:dyDescent="0.2">
      <c r="B4071" s="4" t="s">
        <v>354</v>
      </c>
      <c r="C4071" s="175">
        <v>45</v>
      </c>
      <c r="D4071" s="63" t="s">
        <v>723</v>
      </c>
      <c r="E4071" s="4"/>
      <c r="F4071" s="38">
        <v>5.8000000000000003E-2</v>
      </c>
    </row>
    <row r="4072" spans="2:6" x14ac:dyDescent="0.2">
      <c r="B4072" s="4" t="s">
        <v>354</v>
      </c>
      <c r="C4072" s="175" t="s">
        <v>788</v>
      </c>
      <c r="D4072" s="63" t="s">
        <v>53</v>
      </c>
      <c r="E4072" s="4" t="s">
        <v>789</v>
      </c>
      <c r="F4072" s="38">
        <v>0.24</v>
      </c>
    </row>
    <row r="4073" spans="2:6" x14ac:dyDescent="0.2">
      <c r="B4073" s="4" t="s">
        <v>354</v>
      </c>
      <c r="C4073" s="94" t="s">
        <v>790</v>
      </c>
      <c r="D4073" s="63" t="s">
        <v>61</v>
      </c>
      <c r="E4073" s="70"/>
      <c r="F4073" s="70">
        <v>1.23</v>
      </c>
    </row>
    <row r="4074" spans="2:6" x14ac:dyDescent="0.2">
      <c r="B4074" s="4" t="s">
        <v>354</v>
      </c>
      <c r="C4074" s="175" t="s">
        <v>792</v>
      </c>
      <c r="D4074" s="63" t="s">
        <v>58</v>
      </c>
      <c r="E4074" s="4" t="s">
        <v>793</v>
      </c>
      <c r="F4074" s="38">
        <v>0.28000000000000003</v>
      </c>
    </row>
    <row r="4075" spans="2:6" x14ac:dyDescent="0.2">
      <c r="B4075" s="4" t="s">
        <v>354</v>
      </c>
      <c r="C4075" s="175" t="s">
        <v>697</v>
      </c>
      <c r="D4075" s="63" t="s">
        <v>55</v>
      </c>
      <c r="E4075" s="4">
        <v>4.4000000000000004</v>
      </c>
      <c r="F4075" s="38">
        <v>0.21</v>
      </c>
    </row>
    <row r="4076" spans="2:6" x14ac:dyDescent="0.2">
      <c r="B4076" s="4" t="s">
        <v>354</v>
      </c>
      <c r="C4076" s="175" t="s">
        <v>697</v>
      </c>
      <c r="D4076" s="63" t="s">
        <v>56</v>
      </c>
      <c r="E4076" s="4">
        <v>0.16</v>
      </c>
      <c r="F4076" s="38">
        <v>0.16</v>
      </c>
    </row>
    <row r="4077" spans="2:6" x14ac:dyDescent="0.2">
      <c r="B4077" s="4" t="s">
        <v>354</v>
      </c>
      <c r="C4077" s="175" t="s">
        <v>697</v>
      </c>
      <c r="D4077" s="63" t="s">
        <v>58</v>
      </c>
      <c r="E4077" s="4" t="s">
        <v>791</v>
      </c>
      <c r="F4077" s="38">
        <v>0.28000000000000003</v>
      </c>
    </row>
    <row r="4078" spans="2:6" x14ac:dyDescent="0.2">
      <c r="B4078" s="4" t="s">
        <v>354</v>
      </c>
      <c r="C4078" s="173" t="s">
        <v>212</v>
      </c>
      <c r="D4078" s="63" t="s">
        <v>58</v>
      </c>
      <c r="E4078" s="4" t="s">
        <v>186</v>
      </c>
      <c r="F4078" s="38">
        <v>0.13</v>
      </c>
    </row>
    <row r="4079" spans="2:6" x14ac:dyDescent="0.2">
      <c r="B4079" s="4" t="s">
        <v>354</v>
      </c>
      <c r="C4079" s="175" t="s">
        <v>219</v>
      </c>
      <c r="D4079" s="63" t="s">
        <v>730</v>
      </c>
      <c r="E4079" s="4">
        <v>4</v>
      </c>
      <c r="F4079" s="38">
        <v>3.03</v>
      </c>
    </row>
    <row r="4080" spans="2:6" x14ac:dyDescent="0.2">
      <c r="B4080" s="4" t="s">
        <v>354</v>
      </c>
      <c r="C4080" s="173" t="s">
        <v>217</v>
      </c>
      <c r="D4080" s="63" t="s">
        <v>61</v>
      </c>
      <c r="E4080" s="4"/>
      <c r="F4080" s="38">
        <v>0.26</v>
      </c>
    </row>
    <row r="4081" spans="2:6" x14ac:dyDescent="0.2">
      <c r="B4081" s="4" t="s">
        <v>354</v>
      </c>
      <c r="C4081" s="175" t="s">
        <v>217</v>
      </c>
      <c r="D4081" s="63" t="s">
        <v>718</v>
      </c>
      <c r="E4081" s="4"/>
      <c r="F4081" s="38">
        <v>0.156</v>
      </c>
    </row>
    <row r="4082" spans="2:6" x14ac:dyDescent="0.2">
      <c r="B4082" s="173" t="s">
        <v>354</v>
      </c>
      <c r="C4082" s="173" t="s">
        <v>692</v>
      </c>
      <c r="D4082" s="246" t="s">
        <v>58</v>
      </c>
      <c r="E4082" s="173"/>
      <c r="F4082" s="247">
        <v>0.13500000000000001</v>
      </c>
    </row>
    <row r="4083" spans="2:6" x14ac:dyDescent="0.2">
      <c r="B4083" s="173" t="s">
        <v>354</v>
      </c>
      <c r="C4083" s="173" t="s">
        <v>692</v>
      </c>
      <c r="D4083" s="246" t="s">
        <v>60</v>
      </c>
      <c r="E4083" s="173"/>
      <c r="F4083" s="247">
        <v>0.28000000000000003</v>
      </c>
    </row>
    <row r="4084" spans="2:6" x14ac:dyDescent="0.25">
      <c r="F4084" s="250"/>
    </row>
  </sheetData>
  <autoFilter ref="B4:F4083">
    <sortState ref="B6:I4084">
      <sortCondition ref="B5:B4084"/>
    </sortState>
  </autoFilter>
  <mergeCells count="2">
    <mergeCell ref="B3:F3"/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C1584"/>
  <sheetViews>
    <sheetView zoomScale="175" zoomScaleNormal="175" workbookViewId="0">
      <selection activeCell="B11" sqref="B11"/>
    </sheetView>
  </sheetViews>
  <sheetFormatPr defaultRowHeight="15" customHeight="1" x14ac:dyDescent="0.2"/>
  <cols>
    <col min="1" max="1" width="2" style="35" customWidth="1"/>
    <col min="2" max="2" width="78" style="35" bestFit="1" customWidth="1"/>
    <col min="3" max="3" width="11.5703125" style="35" customWidth="1"/>
    <col min="4" max="16384" width="9.140625" style="35"/>
  </cols>
  <sheetData>
    <row r="1" spans="2:3" ht="25.5" x14ac:dyDescent="0.2">
      <c r="B1" s="295" t="s">
        <v>4396</v>
      </c>
      <c r="C1" s="296" t="s">
        <v>4395</v>
      </c>
    </row>
    <row r="2" spans="2:3" ht="15" customHeight="1" x14ac:dyDescent="0.2">
      <c r="B2" s="297" t="s">
        <v>3594</v>
      </c>
      <c r="C2" s="298">
        <v>70</v>
      </c>
    </row>
    <row r="3" spans="2:3" ht="15" customHeight="1" x14ac:dyDescent="0.2">
      <c r="B3" s="297" t="s">
        <v>3595</v>
      </c>
      <c r="C3" s="298">
        <v>6</v>
      </c>
    </row>
    <row r="4" spans="2:3" ht="15" customHeight="1" x14ac:dyDescent="0.2">
      <c r="B4" s="297" t="s">
        <v>3596</v>
      </c>
      <c r="C4" s="298">
        <v>40</v>
      </c>
    </row>
    <row r="5" spans="2:3" ht="15" customHeight="1" x14ac:dyDescent="0.2">
      <c r="B5" s="297" t="s">
        <v>3597</v>
      </c>
      <c r="C5" s="298">
        <v>60</v>
      </c>
    </row>
    <row r="6" spans="2:3" ht="15" customHeight="1" x14ac:dyDescent="0.2">
      <c r="B6" s="297" t="s">
        <v>3598</v>
      </c>
      <c r="C6" s="298">
        <v>35</v>
      </c>
    </row>
    <row r="7" spans="2:3" ht="15" customHeight="1" x14ac:dyDescent="0.2">
      <c r="B7" s="297" t="s">
        <v>3599</v>
      </c>
      <c r="C7" s="298">
        <v>4</v>
      </c>
    </row>
    <row r="8" spans="2:3" ht="15" customHeight="1" x14ac:dyDescent="0.2">
      <c r="B8" s="297" t="s">
        <v>3600</v>
      </c>
      <c r="C8" s="298">
        <v>1</v>
      </c>
    </row>
    <row r="9" spans="2:3" ht="15" customHeight="1" x14ac:dyDescent="0.2">
      <c r="B9" s="297" t="s">
        <v>3601</v>
      </c>
      <c r="C9" s="298">
        <v>2</v>
      </c>
    </row>
    <row r="10" spans="2:3" ht="15" customHeight="1" x14ac:dyDescent="0.2">
      <c r="B10" s="297" t="s">
        <v>3602</v>
      </c>
      <c r="C10" s="298">
        <v>2</v>
      </c>
    </row>
    <row r="11" spans="2:3" ht="15" customHeight="1" x14ac:dyDescent="0.2">
      <c r="B11" s="297" t="s">
        <v>3603</v>
      </c>
      <c r="C11" s="298">
        <v>53</v>
      </c>
    </row>
    <row r="12" spans="2:3" ht="15" customHeight="1" x14ac:dyDescent="0.2">
      <c r="B12" s="297" t="s">
        <v>3604</v>
      </c>
      <c r="C12" s="298">
        <v>44</v>
      </c>
    </row>
    <row r="13" spans="2:3" ht="15" customHeight="1" x14ac:dyDescent="0.2">
      <c r="B13" s="297" t="s">
        <v>3605</v>
      </c>
      <c r="C13" s="298">
        <v>8</v>
      </c>
    </row>
    <row r="14" spans="2:3" ht="15" customHeight="1" x14ac:dyDescent="0.2">
      <c r="B14" s="297" t="s">
        <v>3606</v>
      </c>
      <c r="C14" s="298">
        <v>16</v>
      </c>
    </row>
    <row r="15" spans="2:3" ht="15" customHeight="1" x14ac:dyDescent="0.2">
      <c r="B15" s="297" t="s">
        <v>3607</v>
      </c>
      <c r="C15" s="298">
        <v>33</v>
      </c>
    </row>
    <row r="16" spans="2:3" ht="15" customHeight="1" x14ac:dyDescent="0.2">
      <c r="B16" s="297" t="s">
        <v>3608</v>
      </c>
      <c r="C16" s="298">
        <v>23</v>
      </c>
    </row>
    <row r="17" spans="2:3" ht="15" customHeight="1" x14ac:dyDescent="0.2">
      <c r="B17" s="297" t="s">
        <v>3609</v>
      </c>
      <c r="C17" s="298">
        <v>21</v>
      </c>
    </row>
    <row r="18" spans="2:3" ht="15" customHeight="1" x14ac:dyDescent="0.2">
      <c r="B18" s="297" t="s">
        <v>3610</v>
      </c>
      <c r="C18" s="298">
        <v>18</v>
      </c>
    </row>
    <row r="19" spans="2:3" ht="15" customHeight="1" x14ac:dyDescent="0.2">
      <c r="B19" s="297" t="s">
        <v>3611</v>
      </c>
      <c r="C19" s="298">
        <v>70</v>
      </c>
    </row>
    <row r="20" spans="2:3" ht="15" customHeight="1" x14ac:dyDescent="0.2">
      <c r="B20" s="297" t="s">
        <v>3612</v>
      </c>
      <c r="C20" s="298">
        <v>38</v>
      </c>
    </row>
    <row r="21" spans="2:3" ht="15" customHeight="1" x14ac:dyDescent="0.2">
      <c r="B21" s="297" t="s">
        <v>3613</v>
      </c>
      <c r="C21" s="298">
        <v>30</v>
      </c>
    </row>
    <row r="22" spans="2:3" ht="15" customHeight="1" x14ac:dyDescent="0.2">
      <c r="B22" s="297" t="s">
        <v>4462</v>
      </c>
      <c r="C22" s="298">
        <v>13</v>
      </c>
    </row>
    <row r="23" spans="2:3" ht="15" customHeight="1" x14ac:dyDescent="0.2">
      <c r="B23" s="297" t="s">
        <v>4463</v>
      </c>
      <c r="C23" s="298">
        <v>3</v>
      </c>
    </row>
    <row r="24" spans="2:3" ht="15" customHeight="1" x14ac:dyDescent="0.2">
      <c r="B24" s="297" t="s">
        <v>3614</v>
      </c>
      <c r="C24" s="298">
        <v>1</v>
      </c>
    </row>
    <row r="25" spans="2:3" ht="15" customHeight="1" x14ac:dyDescent="0.2">
      <c r="B25" s="297" t="s">
        <v>3615</v>
      </c>
      <c r="C25" s="298">
        <v>1</v>
      </c>
    </row>
    <row r="26" spans="2:3" ht="15" customHeight="1" x14ac:dyDescent="0.2">
      <c r="B26" s="297" t="s">
        <v>3616</v>
      </c>
      <c r="C26" s="298">
        <v>1</v>
      </c>
    </row>
    <row r="27" spans="2:3" ht="15" customHeight="1" x14ac:dyDescent="0.2">
      <c r="B27" s="297" t="s">
        <v>3617</v>
      </c>
      <c r="C27" s="298">
        <v>4</v>
      </c>
    </row>
    <row r="28" spans="2:3" ht="15" customHeight="1" x14ac:dyDescent="0.2">
      <c r="B28" s="297" t="s">
        <v>3618</v>
      </c>
      <c r="C28" s="298">
        <v>4</v>
      </c>
    </row>
    <row r="29" spans="2:3" ht="15" customHeight="1" x14ac:dyDescent="0.2">
      <c r="B29" s="297" t="s">
        <v>3619</v>
      </c>
      <c r="C29" s="298">
        <v>1</v>
      </c>
    </row>
    <row r="30" spans="2:3" ht="15" customHeight="1" x14ac:dyDescent="0.2">
      <c r="B30" s="297" t="s">
        <v>3620</v>
      </c>
      <c r="C30" s="298">
        <v>66</v>
      </c>
    </row>
    <row r="31" spans="2:3" ht="15" customHeight="1" x14ac:dyDescent="0.2">
      <c r="B31" s="297" t="s">
        <v>3621</v>
      </c>
      <c r="C31" s="298">
        <v>1</v>
      </c>
    </row>
    <row r="32" spans="2:3" ht="15" customHeight="1" x14ac:dyDescent="0.2">
      <c r="B32" s="297" t="s">
        <v>3622</v>
      </c>
      <c r="C32" s="298">
        <v>6</v>
      </c>
    </row>
    <row r="33" spans="2:3" ht="15" customHeight="1" x14ac:dyDescent="0.2">
      <c r="B33" s="297" t="s">
        <v>3623</v>
      </c>
      <c r="C33" s="298">
        <v>20</v>
      </c>
    </row>
    <row r="34" spans="2:3" ht="15" customHeight="1" x14ac:dyDescent="0.2">
      <c r="B34" s="297" t="s">
        <v>4397</v>
      </c>
      <c r="C34" s="298">
        <v>9</v>
      </c>
    </row>
    <row r="35" spans="2:3" ht="15" customHeight="1" x14ac:dyDescent="0.2">
      <c r="B35" s="297" t="s">
        <v>3624</v>
      </c>
      <c r="C35" s="298">
        <v>4</v>
      </c>
    </row>
    <row r="36" spans="2:3" ht="15" customHeight="1" x14ac:dyDescent="0.2">
      <c r="B36" s="297" t="s">
        <v>4464</v>
      </c>
      <c r="C36" s="298">
        <v>7</v>
      </c>
    </row>
    <row r="37" spans="2:3" ht="15" customHeight="1" x14ac:dyDescent="0.2">
      <c r="B37" s="297" t="s">
        <v>4465</v>
      </c>
      <c r="C37" s="298">
        <v>3</v>
      </c>
    </row>
    <row r="38" spans="2:3" ht="15" customHeight="1" x14ac:dyDescent="0.2">
      <c r="B38" s="297" t="s">
        <v>3625</v>
      </c>
      <c r="C38" s="298">
        <v>6</v>
      </c>
    </row>
    <row r="39" spans="2:3" ht="15" customHeight="1" x14ac:dyDescent="0.2">
      <c r="B39" s="297" t="s">
        <v>4467</v>
      </c>
      <c r="C39" s="298">
        <v>19</v>
      </c>
    </row>
    <row r="40" spans="2:3" ht="15" customHeight="1" x14ac:dyDescent="0.2">
      <c r="B40" s="297" t="s">
        <v>4466</v>
      </c>
      <c r="C40" s="298">
        <v>37</v>
      </c>
    </row>
    <row r="41" spans="2:3" ht="15" customHeight="1" x14ac:dyDescent="0.2">
      <c r="B41" s="297" t="s">
        <v>3626</v>
      </c>
      <c r="C41" s="298">
        <v>1</v>
      </c>
    </row>
    <row r="42" spans="2:3" ht="15" customHeight="1" x14ac:dyDescent="0.2">
      <c r="B42" s="297" t="s">
        <v>4468</v>
      </c>
      <c r="C42" s="298">
        <v>41</v>
      </c>
    </row>
    <row r="43" spans="2:3" ht="15" customHeight="1" x14ac:dyDescent="0.2">
      <c r="B43" s="297" t="s">
        <v>4470</v>
      </c>
      <c r="C43" s="298">
        <v>21</v>
      </c>
    </row>
    <row r="44" spans="2:3" ht="15" customHeight="1" x14ac:dyDescent="0.2">
      <c r="B44" s="297" t="s">
        <v>4469</v>
      </c>
      <c r="C44" s="298">
        <v>45</v>
      </c>
    </row>
    <row r="45" spans="2:3" ht="15" customHeight="1" x14ac:dyDescent="0.2">
      <c r="B45" s="297" t="s">
        <v>4471</v>
      </c>
      <c r="C45" s="298">
        <v>16</v>
      </c>
    </row>
    <row r="46" spans="2:3" ht="15" customHeight="1" x14ac:dyDescent="0.2">
      <c r="B46" s="297" t="s">
        <v>4472</v>
      </c>
      <c r="C46" s="298">
        <v>2</v>
      </c>
    </row>
    <row r="47" spans="2:3" ht="15" customHeight="1" x14ac:dyDescent="0.2">
      <c r="B47" s="297" t="s">
        <v>4473</v>
      </c>
      <c r="C47" s="298">
        <v>1</v>
      </c>
    </row>
    <row r="48" spans="2:3" ht="15" customHeight="1" x14ac:dyDescent="0.2">
      <c r="B48" s="297" t="s">
        <v>4475</v>
      </c>
      <c r="C48" s="298">
        <v>4</v>
      </c>
    </row>
    <row r="49" spans="2:3" ht="15" customHeight="1" x14ac:dyDescent="0.2">
      <c r="B49" s="297" t="s">
        <v>4474</v>
      </c>
      <c r="C49" s="298">
        <v>4</v>
      </c>
    </row>
    <row r="50" spans="2:3" ht="15" customHeight="1" x14ac:dyDescent="0.2">
      <c r="B50" s="297" t="s">
        <v>3627</v>
      </c>
      <c r="C50" s="298">
        <v>5</v>
      </c>
    </row>
    <row r="51" spans="2:3" ht="15" customHeight="1" x14ac:dyDescent="0.2">
      <c r="B51" s="297" t="s">
        <v>4476</v>
      </c>
      <c r="C51" s="298">
        <v>2</v>
      </c>
    </row>
    <row r="52" spans="2:3" ht="15" customHeight="1" x14ac:dyDescent="0.2">
      <c r="B52" s="297" t="s">
        <v>4478</v>
      </c>
      <c r="C52" s="298">
        <v>5</v>
      </c>
    </row>
    <row r="53" spans="2:3" ht="15" customHeight="1" x14ac:dyDescent="0.2">
      <c r="B53" s="297" t="s">
        <v>4477</v>
      </c>
      <c r="C53" s="298">
        <v>1</v>
      </c>
    </row>
    <row r="54" spans="2:3" ht="15" customHeight="1" x14ac:dyDescent="0.2">
      <c r="B54" s="297" t="s">
        <v>4480</v>
      </c>
      <c r="C54" s="298">
        <v>9</v>
      </c>
    </row>
    <row r="55" spans="2:3" ht="15" customHeight="1" x14ac:dyDescent="0.2">
      <c r="B55" s="297" t="s">
        <v>4479</v>
      </c>
      <c r="C55" s="298">
        <v>4</v>
      </c>
    </row>
    <row r="56" spans="2:3" ht="15" customHeight="1" x14ac:dyDescent="0.2">
      <c r="B56" s="297" t="s">
        <v>4398</v>
      </c>
      <c r="C56" s="298">
        <v>4</v>
      </c>
    </row>
    <row r="57" spans="2:3" ht="15" customHeight="1" x14ac:dyDescent="0.2">
      <c r="B57" s="297" t="s">
        <v>4481</v>
      </c>
      <c r="C57" s="298">
        <v>14</v>
      </c>
    </row>
    <row r="58" spans="2:3" ht="15" customHeight="1" x14ac:dyDescent="0.2">
      <c r="B58" s="297" t="s">
        <v>4483</v>
      </c>
      <c r="C58" s="298">
        <v>1</v>
      </c>
    </row>
    <row r="59" spans="2:3" ht="15" customHeight="1" x14ac:dyDescent="0.2">
      <c r="B59" s="297" t="s">
        <v>4482</v>
      </c>
      <c r="C59" s="298">
        <v>3</v>
      </c>
    </row>
    <row r="60" spans="2:3" ht="15" customHeight="1" x14ac:dyDescent="0.2">
      <c r="B60" s="297" t="s">
        <v>4485</v>
      </c>
      <c r="C60" s="298">
        <v>44</v>
      </c>
    </row>
    <row r="61" spans="2:3" ht="15" customHeight="1" x14ac:dyDescent="0.2">
      <c r="B61" s="297" t="s">
        <v>4484</v>
      </c>
      <c r="C61" s="298">
        <v>4</v>
      </c>
    </row>
    <row r="62" spans="2:3" ht="15" customHeight="1" x14ac:dyDescent="0.2">
      <c r="B62" s="297" t="s">
        <v>3628</v>
      </c>
      <c r="C62" s="298">
        <v>4</v>
      </c>
    </row>
    <row r="63" spans="2:3" ht="15" customHeight="1" x14ac:dyDescent="0.2">
      <c r="B63" s="297" t="s">
        <v>4399</v>
      </c>
      <c r="C63" s="298">
        <v>6</v>
      </c>
    </row>
    <row r="64" spans="2:3" ht="15" customHeight="1" x14ac:dyDescent="0.2">
      <c r="B64" s="297" t="s">
        <v>4486</v>
      </c>
      <c r="C64" s="298">
        <v>18</v>
      </c>
    </row>
    <row r="65" spans="2:3" ht="15" customHeight="1" x14ac:dyDescent="0.2">
      <c r="B65" s="297" t="s">
        <v>3629</v>
      </c>
      <c r="C65" s="298">
        <v>1</v>
      </c>
    </row>
    <row r="66" spans="2:3" ht="15" customHeight="1" x14ac:dyDescent="0.2">
      <c r="B66" s="297" t="s">
        <v>3630</v>
      </c>
      <c r="C66" s="298">
        <v>1</v>
      </c>
    </row>
    <row r="67" spans="2:3" ht="15" customHeight="1" x14ac:dyDescent="0.2">
      <c r="B67" s="297" t="s">
        <v>3631</v>
      </c>
      <c r="C67" s="298">
        <v>4</v>
      </c>
    </row>
    <row r="68" spans="2:3" ht="15" customHeight="1" x14ac:dyDescent="0.2">
      <c r="B68" s="297" t="s">
        <v>4487</v>
      </c>
      <c r="C68" s="298">
        <v>24</v>
      </c>
    </row>
    <row r="69" spans="2:3" ht="15" customHeight="1" x14ac:dyDescent="0.2">
      <c r="B69" s="297" t="s">
        <v>3632</v>
      </c>
      <c r="C69" s="298">
        <v>1</v>
      </c>
    </row>
    <row r="70" spans="2:3" ht="15" customHeight="1" x14ac:dyDescent="0.2">
      <c r="B70" s="297" t="s">
        <v>4488</v>
      </c>
      <c r="C70" s="298">
        <v>10</v>
      </c>
    </row>
    <row r="71" spans="2:3" ht="15" customHeight="1" x14ac:dyDescent="0.2">
      <c r="B71" s="297" t="s">
        <v>4489</v>
      </c>
      <c r="C71" s="298">
        <v>8</v>
      </c>
    </row>
    <row r="72" spans="2:3" ht="15" customHeight="1" x14ac:dyDescent="0.2">
      <c r="B72" s="297" t="s">
        <v>3633</v>
      </c>
      <c r="C72" s="298">
        <v>1</v>
      </c>
    </row>
    <row r="73" spans="2:3" ht="15" customHeight="1" x14ac:dyDescent="0.2">
      <c r="B73" s="297" t="s">
        <v>4490</v>
      </c>
      <c r="C73" s="298">
        <v>12</v>
      </c>
    </row>
    <row r="74" spans="2:3" ht="15" customHeight="1" x14ac:dyDescent="0.2">
      <c r="B74" s="297" t="s">
        <v>4491</v>
      </c>
      <c r="C74" s="298">
        <v>6</v>
      </c>
    </row>
    <row r="75" spans="2:3" ht="15" customHeight="1" x14ac:dyDescent="0.2">
      <c r="B75" s="297" t="s">
        <v>3634</v>
      </c>
      <c r="C75" s="298">
        <v>1</v>
      </c>
    </row>
    <row r="76" spans="2:3" ht="15" customHeight="1" x14ac:dyDescent="0.2">
      <c r="B76" s="297" t="s">
        <v>3635</v>
      </c>
      <c r="C76" s="298">
        <v>1</v>
      </c>
    </row>
    <row r="77" spans="2:3" ht="15" customHeight="1" x14ac:dyDescent="0.2">
      <c r="B77" s="297" t="s">
        <v>3636</v>
      </c>
      <c r="C77" s="298">
        <v>3</v>
      </c>
    </row>
    <row r="78" spans="2:3" ht="15" customHeight="1" x14ac:dyDescent="0.2">
      <c r="B78" s="297" t="s">
        <v>3637</v>
      </c>
      <c r="C78" s="298">
        <v>2</v>
      </c>
    </row>
    <row r="79" spans="2:3" ht="15" customHeight="1" x14ac:dyDescent="0.2">
      <c r="B79" s="297" t="s">
        <v>3638</v>
      </c>
      <c r="C79" s="298">
        <v>2</v>
      </c>
    </row>
    <row r="80" spans="2:3" ht="15" customHeight="1" x14ac:dyDescent="0.2">
      <c r="B80" s="297" t="s">
        <v>3639</v>
      </c>
      <c r="C80" s="298">
        <v>2</v>
      </c>
    </row>
    <row r="81" spans="2:3" ht="15" customHeight="1" x14ac:dyDescent="0.2">
      <c r="B81" s="297" t="s">
        <v>3640</v>
      </c>
      <c r="C81" s="298">
        <v>1</v>
      </c>
    </row>
    <row r="82" spans="2:3" ht="15" customHeight="1" x14ac:dyDescent="0.2">
      <c r="B82" s="297" t="s">
        <v>3641</v>
      </c>
      <c r="C82" s="298">
        <v>28</v>
      </c>
    </row>
    <row r="83" spans="2:3" ht="15" customHeight="1" x14ac:dyDescent="0.2">
      <c r="B83" s="297" t="s">
        <v>3642</v>
      </c>
      <c r="C83" s="298">
        <v>29</v>
      </c>
    </row>
    <row r="84" spans="2:3" ht="15" customHeight="1" x14ac:dyDescent="0.2">
      <c r="B84" s="297" t="s">
        <v>3643</v>
      </c>
      <c r="C84" s="298">
        <v>2</v>
      </c>
    </row>
    <row r="85" spans="2:3" ht="15" customHeight="1" x14ac:dyDescent="0.2">
      <c r="B85" s="297" t="s">
        <v>3644</v>
      </c>
      <c r="C85" s="298">
        <v>4</v>
      </c>
    </row>
    <row r="86" spans="2:3" ht="15" customHeight="1" x14ac:dyDescent="0.2">
      <c r="B86" s="297" t="s">
        <v>3645</v>
      </c>
      <c r="C86" s="298">
        <v>37</v>
      </c>
    </row>
    <row r="87" spans="2:3" ht="15" customHeight="1" x14ac:dyDescent="0.2">
      <c r="B87" s="297" t="s">
        <v>3646</v>
      </c>
      <c r="C87" s="298">
        <v>24</v>
      </c>
    </row>
    <row r="88" spans="2:3" ht="15" customHeight="1" x14ac:dyDescent="0.2">
      <c r="B88" s="297" t="s">
        <v>3647</v>
      </c>
      <c r="C88" s="298">
        <v>2</v>
      </c>
    </row>
    <row r="89" spans="2:3" ht="15" customHeight="1" x14ac:dyDescent="0.2">
      <c r="B89" s="297" t="s">
        <v>3648</v>
      </c>
      <c r="C89" s="298">
        <v>15</v>
      </c>
    </row>
    <row r="90" spans="2:3" ht="15" customHeight="1" x14ac:dyDescent="0.2">
      <c r="B90" s="297" t="s">
        <v>3649</v>
      </c>
      <c r="C90" s="298">
        <v>51</v>
      </c>
    </row>
    <row r="91" spans="2:3" ht="15" customHeight="1" x14ac:dyDescent="0.2">
      <c r="B91" s="297" t="s">
        <v>3650</v>
      </c>
      <c r="C91" s="298">
        <v>13</v>
      </c>
    </row>
    <row r="92" spans="2:3" ht="15" customHeight="1" x14ac:dyDescent="0.2">
      <c r="B92" s="297" t="s">
        <v>3651</v>
      </c>
      <c r="C92" s="298">
        <v>40</v>
      </c>
    </row>
    <row r="93" spans="2:3" ht="15" customHeight="1" x14ac:dyDescent="0.2">
      <c r="B93" s="297" t="s">
        <v>3652</v>
      </c>
      <c r="C93" s="298">
        <v>32</v>
      </c>
    </row>
    <row r="94" spans="2:3" ht="15" customHeight="1" x14ac:dyDescent="0.2">
      <c r="B94" s="297" t="s">
        <v>3653</v>
      </c>
      <c r="C94" s="298">
        <v>2</v>
      </c>
    </row>
    <row r="95" spans="2:3" ht="15" customHeight="1" x14ac:dyDescent="0.2">
      <c r="B95" s="297" t="s">
        <v>3654</v>
      </c>
      <c r="C95" s="298">
        <v>2</v>
      </c>
    </row>
    <row r="96" spans="2:3" ht="15" customHeight="1" x14ac:dyDescent="0.2">
      <c r="B96" s="297" t="s">
        <v>3655</v>
      </c>
      <c r="C96" s="298">
        <v>25</v>
      </c>
    </row>
    <row r="97" spans="2:3" ht="15" customHeight="1" x14ac:dyDescent="0.2">
      <c r="B97" s="297" t="s">
        <v>3656</v>
      </c>
      <c r="C97" s="298">
        <v>1</v>
      </c>
    </row>
    <row r="98" spans="2:3" ht="15" customHeight="1" x14ac:dyDescent="0.2">
      <c r="B98" s="297" t="s">
        <v>3657</v>
      </c>
      <c r="C98" s="298">
        <v>10</v>
      </c>
    </row>
    <row r="99" spans="2:3" ht="15" customHeight="1" x14ac:dyDescent="0.2">
      <c r="B99" s="297" t="s">
        <v>3658</v>
      </c>
      <c r="C99" s="298">
        <v>1</v>
      </c>
    </row>
    <row r="100" spans="2:3" ht="15" customHeight="1" x14ac:dyDescent="0.2">
      <c r="B100" s="297" t="s">
        <v>3659</v>
      </c>
      <c r="C100" s="298">
        <v>26</v>
      </c>
    </row>
    <row r="101" spans="2:3" ht="15" customHeight="1" x14ac:dyDescent="0.2">
      <c r="B101" s="297" t="s">
        <v>3660</v>
      </c>
      <c r="C101" s="298">
        <v>5</v>
      </c>
    </row>
    <row r="102" spans="2:3" ht="15" customHeight="1" x14ac:dyDescent="0.2">
      <c r="B102" s="297" t="s">
        <v>3661</v>
      </c>
      <c r="C102" s="298">
        <v>1</v>
      </c>
    </row>
    <row r="103" spans="2:3" ht="15" customHeight="1" x14ac:dyDescent="0.2">
      <c r="B103" s="297" t="s">
        <v>3662</v>
      </c>
      <c r="C103" s="298">
        <v>87</v>
      </c>
    </row>
    <row r="104" spans="2:3" ht="15" customHeight="1" x14ac:dyDescent="0.2">
      <c r="B104" s="297" t="s">
        <v>3663</v>
      </c>
      <c r="C104" s="298">
        <v>112</v>
      </c>
    </row>
    <row r="105" spans="2:3" ht="15" customHeight="1" x14ac:dyDescent="0.2">
      <c r="B105" s="297" t="s">
        <v>4400</v>
      </c>
      <c r="C105" s="298">
        <v>15</v>
      </c>
    </row>
    <row r="106" spans="2:3" ht="15" customHeight="1" x14ac:dyDescent="0.2">
      <c r="B106" s="297" t="s">
        <v>3664</v>
      </c>
      <c r="C106" s="298">
        <v>1</v>
      </c>
    </row>
    <row r="107" spans="2:3" ht="15" customHeight="1" x14ac:dyDescent="0.2">
      <c r="B107" s="297" t="s">
        <v>4401</v>
      </c>
      <c r="C107" s="298">
        <v>37</v>
      </c>
    </row>
    <row r="108" spans="2:3" ht="15" customHeight="1" x14ac:dyDescent="0.2">
      <c r="B108" s="297" t="s">
        <v>4402</v>
      </c>
      <c r="C108" s="298">
        <v>5</v>
      </c>
    </row>
    <row r="109" spans="2:3" ht="15" customHeight="1" x14ac:dyDescent="0.2">
      <c r="B109" s="297" t="s">
        <v>4402</v>
      </c>
      <c r="C109" s="298">
        <v>3</v>
      </c>
    </row>
    <row r="110" spans="2:3" ht="15" customHeight="1" x14ac:dyDescent="0.2">
      <c r="B110" s="297" t="s">
        <v>4403</v>
      </c>
      <c r="C110" s="298">
        <v>1</v>
      </c>
    </row>
    <row r="111" spans="2:3" ht="15" customHeight="1" x14ac:dyDescent="0.2">
      <c r="B111" s="297" t="s">
        <v>4492</v>
      </c>
      <c r="C111" s="298">
        <v>5</v>
      </c>
    </row>
    <row r="112" spans="2:3" ht="15" customHeight="1" x14ac:dyDescent="0.2">
      <c r="B112" s="297" t="s">
        <v>3666</v>
      </c>
      <c r="C112" s="298">
        <v>1</v>
      </c>
    </row>
    <row r="113" spans="2:3" ht="15" customHeight="1" x14ac:dyDescent="0.2">
      <c r="B113" s="297" t="s">
        <v>3665</v>
      </c>
      <c r="C113" s="298">
        <v>1</v>
      </c>
    </row>
    <row r="114" spans="2:3" ht="15" customHeight="1" x14ac:dyDescent="0.2">
      <c r="B114" s="297" t="s">
        <v>3667</v>
      </c>
      <c r="C114" s="298">
        <v>6</v>
      </c>
    </row>
    <row r="115" spans="2:3" ht="15" customHeight="1" x14ac:dyDescent="0.2">
      <c r="B115" s="297" t="s">
        <v>4493</v>
      </c>
      <c r="C115" s="298">
        <v>4</v>
      </c>
    </row>
    <row r="116" spans="2:3" ht="15" customHeight="1" x14ac:dyDescent="0.2">
      <c r="B116" s="297" t="s">
        <v>4404</v>
      </c>
      <c r="C116" s="298">
        <v>29</v>
      </c>
    </row>
    <row r="117" spans="2:3" ht="15" customHeight="1" x14ac:dyDescent="0.2">
      <c r="B117" s="297" t="s">
        <v>3668</v>
      </c>
      <c r="C117" s="298">
        <v>10</v>
      </c>
    </row>
    <row r="118" spans="2:3" ht="15" customHeight="1" x14ac:dyDescent="0.2">
      <c r="B118" s="297" t="s">
        <v>4405</v>
      </c>
      <c r="C118" s="298">
        <v>3</v>
      </c>
    </row>
    <row r="119" spans="2:3" ht="15" customHeight="1" x14ac:dyDescent="0.2">
      <c r="B119" s="297" t="s">
        <v>4406</v>
      </c>
      <c r="C119" s="298">
        <v>50</v>
      </c>
    </row>
    <row r="120" spans="2:3" ht="15" customHeight="1" x14ac:dyDescent="0.2">
      <c r="B120" s="297" t="s">
        <v>4406</v>
      </c>
      <c r="C120" s="298">
        <v>14</v>
      </c>
    </row>
    <row r="121" spans="2:3" ht="15" customHeight="1" x14ac:dyDescent="0.2">
      <c r="B121" s="297" t="s">
        <v>3669</v>
      </c>
      <c r="C121" s="298">
        <v>2</v>
      </c>
    </row>
    <row r="122" spans="2:3" ht="15" customHeight="1" x14ac:dyDescent="0.2">
      <c r="B122" s="297" t="s">
        <v>4407</v>
      </c>
      <c r="C122" s="298">
        <v>18</v>
      </c>
    </row>
    <row r="123" spans="2:3" ht="15" customHeight="1" x14ac:dyDescent="0.2">
      <c r="B123" s="297" t="s">
        <v>3670</v>
      </c>
      <c r="C123" s="298">
        <v>2</v>
      </c>
    </row>
    <row r="124" spans="2:3" ht="15" customHeight="1" x14ac:dyDescent="0.2">
      <c r="B124" s="297" t="s">
        <v>4409</v>
      </c>
      <c r="C124" s="298">
        <v>4</v>
      </c>
    </row>
    <row r="125" spans="2:3" ht="15" customHeight="1" x14ac:dyDescent="0.2">
      <c r="B125" s="297" t="s">
        <v>4408</v>
      </c>
      <c r="C125" s="298">
        <v>4</v>
      </c>
    </row>
    <row r="126" spans="2:3" ht="15" customHeight="1" x14ac:dyDescent="0.2">
      <c r="B126" s="297" t="s">
        <v>4494</v>
      </c>
      <c r="C126" s="298">
        <v>6</v>
      </c>
    </row>
    <row r="127" spans="2:3" ht="15" customHeight="1" x14ac:dyDescent="0.2">
      <c r="B127" s="297" t="s">
        <v>4410</v>
      </c>
      <c r="C127" s="298">
        <v>4</v>
      </c>
    </row>
    <row r="128" spans="2:3" ht="15" customHeight="1" x14ac:dyDescent="0.2">
      <c r="B128" s="297" t="s">
        <v>3671</v>
      </c>
      <c r="C128" s="298">
        <v>2</v>
      </c>
    </row>
    <row r="129" spans="2:3" ht="15" customHeight="1" x14ac:dyDescent="0.2">
      <c r="B129" s="297" t="s">
        <v>4495</v>
      </c>
      <c r="C129" s="298">
        <v>6</v>
      </c>
    </row>
    <row r="130" spans="2:3" ht="15" customHeight="1" x14ac:dyDescent="0.2">
      <c r="B130" s="297" t="s">
        <v>4495</v>
      </c>
      <c r="C130" s="298">
        <v>1</v>
      </c>
    </row>
    <row r="131" spans="2:3" ht="15" customHeight="1" x14ac:dyDescent="0.2">
      <c r="B131" s="297" t="s">
        <v>3672</v>
      </c>
      <c r="C131" s="298">
        <v>6</v>
      </c>
    </row>
    <row r="132" spans="2:3" ht="15" customHeight="1" x14ac:dyDescent="0.2">
      <c r="B132" s="297" t="s">
        <v>3673</v>
      </c>
      <c r="C132" s="298">
        <v>2</v>
      </c>
    </row>
    <row r="133" spans="2:3" ht="15" customHeight="1" x14ac:dyDescent="0.2">
      <c r="B133" s="297" t="s">
        <v>3674</v>
      </c>
      <c r="C133" s="298">
        <v>3</v>
      </c>
    </row>
    <row r="134" spans="2:3" ht="15" customHeight="1" x14ac:dyDescent="0.2">
      <c r="B134" s="297" t="s">
        <v>3675</v>
      </c>
      <c r="C134" s="298">
        <v>1</v>
      </c>
    </row>
    <row r="135" spans="2:3" ht="15" customHeight="1" x14ac:dyDescent="0.2">
      <c r="B135" s="297" t="s">
        <v>3676</v>
      </c>
      <c r="C135" s="298">
        <v>1</v>
      </c>
    </row>
    <row r="136" spans="2:3" ht="15" customHeight="1" x14ac:dyDescent="0.2">
      <c r="B136" s="297" t="s">
        <v>3677</v>
      </c>
      <c r="C136" s="298">
        <v>1</v>
      </c>
    </row>
    <row r="137" spans="2:3" ht="15" customHeight="1" x14ac:dyDescent="0.2">
      <c r="B137" s="297" t="s">
        <v>3678</v>
      </c>
      <c r="C137" s="298">
        <v>2</v>
      </c>
    </row>
    <row r="138" spans="2:3" ht="15" customHeight="1" x14ac:dyDescent="0.2">
      <c r="B138" s="297" t="s">
        <v>3679</v>
      </c>
      <c r="C138" s="298">
        <v>1</v>
      </c>
    </row>
    <row r="139" spans="2:3" ht="15" customHeight="1" x14ac:dyDescent="0.2">
      <c r="B139" s="297" t="s">
        <v>4496</v>
      </c>
      <c r="C139" s="298">
        <v>1</v>
      </c>
    </row>
    <row r="140" spans="2:3" ht="15" customHeight="1" x14ac:dyDescent="0.2">
      <c r="B140" s="297" t="s">
        <v>3680</v>
      </c>
      <c r="C140" s="298">
        <v>1</v>
      </c>
    </row>
    <row r="141" spans="2:3" ht="15" customHeight="1" x14ac:dyDescent="0.2">
      <c r="B141" s="297" t="s">
        <v>4497</v>
      </c>
      <c r="C141" s="298">
        <v>3</v>
      </c>
    </row>
    <row r="142" spans="2:3" ht="15" customHeight="1" x14ac:dyDescent="0.2">
      <c r="B142" s="297" t="s">
        <v>3681</v>
      </c>
      <c r="C142" s="298">
        <v>1</v>
      </c>
    </row>
    <row r="143" spans="2:3" ht="15" customHeight="1" x14ac:dyDescent="0.2">
      <c r="B143" s="297" t="s">
        <v>3682</v>
      </c>
      <c r="C143" s="298">
        <v>2</v>
      </c>
    </row>
    <row r="144" spans="2:3" ht="15" customHeight="1" x14ac:dyDescent="0.2">
      <c r="B144" s="297" t="s">
        <v>3683</v>
      </c>
      <c r="C144" s="298">
        <v>1</v>
      </c>
    </row>
    <row r="145" spans="2:3" ht="15" customHeight="1" x14ac:dyDescent="0.2">
      <c r="B145" s="297" t="s">
        <v>3684</v>
      </c>
      <c r="C145" s="298">
        <v>2</v>
      </c>
    </row>
    <row r="146" spans="2:3" ht="15" customHeight="1" x14ac:dyDescent="0.2">
      <c r="B146" s="297" t="s">
        <v>4498</v>
      </c>
      <c r="C146" s="298">
        <v>4</v>
      </c>
    </row>
    <row r="147" spans="2:3" ht="15" customHeight="1" x14ac:dyDescent="0.2">
      <c r="B147" s="297" t="s">
        <v>4411</v>
      </c>
      <c r="C147" s="298">
        <v>1</v>
      </c>
    </row>
    <row r="148" spans="2:3" ht="15" customHeight="1" x14ac:dyDescent="0.2">
      <c r="B148" s="297" t="s">
        <v>3685</v>
      </c>
      <c r="C148" s="298">
        <v>2</v>
      </c>
    </row>
    <row r="149" spans="2:3" ht="15" customHeight="1" x14ac:dyDescent="0.2">
      <c r="B149" s="297" t="s">
        <v>4499</v>
      </c>
      <c r="C149" s="298">
        <v>2</v>
      </c>
    </row>
    <row r="150" spans="2:3" ht="15" customHeight="1" x14ac:dyDescent="0.2">
      <c r="B150" s="297" t="s">
        <v>4412</v>
      </c>
      <c r="C150" s="298">
        <v>1</v>
      </c>
    </row>
    <row r="151" spans="2:3" ht="15" customHeight="1" x14ac:dyDescent="0.2">
      <c r="B151" s="297" t="s">
        <v>4413</v>
      </c>
      <c r="C151" s="298">
        <v>2</v>
      </c>
    </row>
    <row r="152" spans="2:3" ht="15" customHeight="1" x14ac:dyDescent="0.2">
      <c r="B152" s="297" t="s">
        <v>3686</v>
      </c>
      <c r="C152" s="298">
        <v>1</v>
      </c>
    </row>
    <row r="153" spans="2:3" ht="15" customHeight="1" x14ac:dyDescent="0.2">
      <c r="B153" s="297" t="s">
        <v>4414</v>
      </c>
      <c r="C153" s="298">
        <v>6</v>
      </c>
    </row>
    <row r="154" spans="2:3" ht="15" customHeight="1" x14ac:dyDescent="0.2">
      <c r="B154" s="297" t="s">
        <v>4415</v>
      </c>
      <c r="C154" s="298">
        <v>2</v>
      </c>
    </row>
    <row r="155" spans="2:3" ht="15" customHeight="1" x14ac:dyDescent="0.2">
      <c r="B155" s="297" t="s">
        <v>4416</v>
      </c>
      <c r="C155" s="298">
        <v>1</v>
      </c>
    </row>
    <row r="156" spans="2:3" ht="15" customHeight="1" x14ac:dyDescent="0.2">
      <c r="B156" s="297" t="s">
        <v>3687</v>
      </c>
      <c r="C156" s="298">
        <v>1</v>
      </c>
    </row>
    <row r="157" spans="2:3" ht="15" customHeight="1" x14ac:dyDescent="0.2">
      <c r="B157" s="297" t="s">
        <v>3688</v>
      </c>
      <c r="C157" s="298">
        <v>3</v>
      </c>
    </row>
    <row r="158" spans="2:3" ht="15" customHeight="1" x14ac:dyDescent="0.2">
      <c r="B158" s="297" t="s">
        <v>3689</v>
      </c>
      <c r="C158" s="298">
        <v>1</v>
      </c>
    </row>
    <row r="159" spans="2:3" ht="15" customHeight="1" x14ac:dyDescent="0.2">
      <c r="B159" s="297" t="s">
        <v>3690</v>
      </c>
      <c r="C159" s="298">
        <v>1</v>
      </c>
    </row>
    <row r="160" spans="2:3" ht="15" customHeight="1" x14ac:dyDescent="0.2">
      <c r="B160" s="297" t="s">
        <v>3691</v>
      </c>
      <c r="C160" s="298">
        <v>51</v>
      </c>
    </row>
    <row r="161" spans="2:3" ht="15" customHeight="1" x14ac:dyDescent="0.2">
      <c r="B161" s="297" t="s">
        <v>4417</v>
      </c>
      <c r="C161" s="298">
        <v>26</v>
      </c>
    </row>
    <row r="162" spans="2:3" ht="15" customHeight="1" x14ac:dyDescent="0.2">
      <c r="B162" s="297" t="s">
        <v>4417</v>
      </c>
      <c r="C162" s="298">
        <v>6</v>
      </c>
    </row>
    <row r="163" spans="2:3" ht="15" customHeight="1" x14ac:dyDescent="0.2">
      <c r="B163" s="297" t="s">
        <v>4500</v>
      </c>
      <c r="C163" s="298">
        <v>29</v>
      </c>
    </row>
    <row r="164" spans="2:3" ht="15" customHeight="1" x14ac:dyDescent="0.2">
      <c r="B164" s="297" t="s">
        <v>3692</v>
      </c>
      <c r="C164" s="298">
        <v>1</v>
      </c>
    </row>
    <row r="165" spans="2:3" ht="15" customHeight="1" x14ac:dyDescent="0.2">
      <c r="B165" s="297" t="s">
        <v>4418</v>
      </c>
      <c r="C165" s="298">
        <v>39</v>
      </c>
    </row>
    <row r="166" spans="2:3" ht="15" customHeight="1" x14ac:dyDescent="0.2">
      <c r="B166" s="297" t="s">
        <v>3694</v>
      </c>
      <c r="C166" s="298">
        <v>16</v>
      </c>
    </row>
    <row r="167" spans="2:3" ht="15" customHeight="1" x14ac:dyDescent="0.2">
      <c r="B167" s="297" t="s">
        <v>3693</v>
      </c>
      <c r="C167" s="298">
        <v>9</v>
      </c>
    </row>
    <row r="168" spans="2:3" ht="15" customHeight="1" x14ac:dyDescent="0.2">
      <c r="B168" s="297" t="s">
        <v>4419</v>
      </c>
      <c r="C168" s="298">
        <v>1</v>
      </c>
    </row>
    <row r="169" spans="2:3" ht="15" customHeight="1" x14ac:dyDescent="0.2">
      <c r="B169" s="297" t="s">
        <v>4501</v>
      </c>
      <c r="C169" s="298">
        <v>4</v>
      </c>
    </row>
    <row r="170" spans="2:3" ht="15" customHeight="1" x14ac:dyDescent="0.2">
      <c r="B170" s="297" t="s">
        <v>4501</v>
      </c>
      <c r="C170" s="298">
        <v>6</v>
      </c>
    </row>
    <row r="171" spans="2:3" ht="15" customHeight="1" x14ac:dyDescent="0.2">
      <c r="B171" s="297" t="s">
        <v>3695</v>
      </c>
      <c r="C171" s="298">
        <v>6</v>
      </c>
    </row>
    <row r="172" spans="2:3" ht="15" customHeight="1" x14ac:dyDescent="0.2">
      <c r="B172" s="297" t="s">
        <v>4502</v>
      </c>
      <c r="C172" s="298">
        <v>1</v>
      </c>
    </row>
    <row r="173" spans="2:3" ht="15" customHeight="1" x14ac:dyDescent="0.2">
      <c r="B173" s="297" t="s">
        <v>4420</v>
      </c>
      <c r="C173" s="298">
        <v>14</v>
      </c>
    </row>
    <row r="174" spans="2:3" ht="15" customHeight="1" x14ac:dyDescent="0.2">
      <c r="B174" s="297" t="s">
        <v>3696</v>
      </c>
      <c r="C174" s="298">
        <v>2</v>
      </c>
    </row>
    <row r="175" spans="2:3" ht="15" customHeight="1" x14ac:dyDescent="0.2">
      <c r="B175" s="297" t="s">
        <v>4421</v>
      </c>
      <c r="C175" s="298">
        <v>4</v>
      </c>
    </row>
    <row r="176" spans="2:3" ht="15" customHeight="1" x14ac:dyDescent="0.2">
      <c r="B176" s="297" t="s">
        <v>4422</v>
      </c>
      <c r="C176" s="298">
        <v>5</v>
      </c>
    </row>
    <row r="177" spans="2:3" ht="15" customHeight="1" x14ac:dyDescent="0.2">
      <c r="B177" s="297" t="s">
        <v>3697</v>
      </c>
      <c r="C177" s="298">
        <v>6</v>
      </c>
    </row>
    <row r="178" spans="2:3" ht="15" customHeight="1" x14ac:dyDescent="0.2">
      <c r="B178" s="297" t="s">
        <v>3698</v>
      </c>
      <c r="C178" s="298">
        <v>14</v>
      </c>
    </row>
    <row r="179" spans="2:3" ht="15" customHeight="1" x14ac:dyDescent="0.2">
      <c r="B179" s="297" t="s">
        <v>3699</v>
      </c>
      <c r="C179" s="298">
        <v>2</v>
      </c>
    </row>
    <row r="180" spans="2:3" ht="15" customHeight="1" x14ac:dyDescent="0.2">
      <c r="B180" s="297" t="s">
        <v>4503</v>
      </c>
      <c r="C180" s="298">
        <v>5</v>
      </c>
    </row>
    <row r="181" spans="2:3" ht="15" customHeight="1" x14ac:dyDescent="0.2">
      <c r="B181" s="297" t="s">
        <v>4423</v>
      </c>
      <c r="C181" s="298">
        <v>170</v>
      </c>
    </row>
    <row r="182" spans="2:3" ht="15" customHeight="1" x14ac:dyDescent="0.2">
      <c r="B182" s="297" t="s">
        <v>4423</v>
      </c>
      <c r="C182" s="298">
        <v>8</v>
      </c>
    </row>
    <row r="183" spans="2:3" ht="15" customHeight="1" x14ac:dyDescent="0.2">
      <c r="B183" s="297" t="s">
        <v>3700</v>
      </c>
      <c r="C183" s="298">
        <v>1</v>
      </c>
    </row>
    <row r="184" spans="2:3" ht="15" customHeight="1" x14ac:dyDescent="0.2">
      <c r="B184" s="297" t="s">
        <v>4424</v>
      </c>
      <c r="C184" s="298">
        <v>2</v>
      </c>
    </row>
    <row r="185" spans="2:3" ht="15" customHeight="1" x14ac:dyDescent="0.2">
      <c r="B185" s="297" t="s">
        <v>3701</v>
      </c>
      <c r="C185" s="298">
        <v>129</v>
      </c>
    </row>
    <row r="186" spans="2:3" ht="15" customHeight="1" x14ac:dyDescent="0.2">
      <c r="B186" s="297" t="s">
        <v>4425</v>
      </c>
      <c r="C186" s="298">
        <v>18</v>
      </c>
    </row>
    <row r="187" spans="2:3" ht="15" customHeight="1" x14ac:dyDescent="0.2">
      <c r="B187" s="297" t="s">
        <v>3702</v>
      </c>
      <c r="C187" s="298">
        <v>1</v>
      </c>
    </row>
    <row r="188" spans="2:3" ht="15" customHeight="1" x14ac:dyDescent="0.2">
      <c r="B188" s="297" t="s">
        <v>3704</v>
      </c>
      <c r="C188" s="298">
        <v>13</v>
      </c>
    </row>
    <row r="189" spans="2:3" ht="15" customHeight="1" x14ac:dyDescent="0.2">
      <c r="B189" s="297" t="s">
        <v>4426</v>
      </c>
      <c r="C189" s="298">
        <v>47</v>
      </c>
    </row>
    <row r="190" spans="2:3" ht="15" customHeight="1" x14ac:dyDescent="0.2">
      <c r="B190" s="297" t="s">
        <v>3705</v>
      </c>
      <c r="C190" s="298">
        <v>1</v>
      </c>
    </row>
    <row r="191" spans="2:3" ht="15" customHeight="1" x14ac:dyDescent="0.2">
      <c r="B191" s="297" t="s">
        <v>3703</v>
      </c>
      <c r="C191" s="298">
        <v>63</v>
      </c>
    </row>
    <row r="192" spans="2:3" ht="15" customHeight="1" x14ac:dyDescent="0.2">
      <c r="B192" s="297" t="s">
        <v>4504</v>
      </c>
      <c r="C192" s="298">
        <v>20</v>
      </c>
    </row>
    <row r="193" spans="2:3" ht="15" customHeight="1" x14ac:dyDescent="0.2">
      <c r="B193" s="297" t="s">
        <v>4427</v>
      </c>
      <c r="C193" s="298">
        <v>84</v>
      </c>
    </row>
    <row r="194" spans="2:3" ht="15" customHeight="1" x14ac:dyDescent="0.2">
      <c r="B194" s="297" t="s">
        <v>4427</v>
      </c>
      <c r="C194" s="298">
        <v>12</v>
      </c>
    </row>
    <row r="195" spans="2:3" ht="15" customHeight="1" x14ac:dyDescent="0.2">
      <c r="B195" s="297" t="s">
        <v>3706</v>
      </c>
      <c r="C195" s="298">
        <v>2</v>
      </c>
    </row>
    <row r="196" spans="2:3" ht="15" customHeight="1" x14ac:dyDescent="0.2">
      <c r="B196" s="297" t="s">
        <v>4428</v>
      </c>
      <c r="C196" s="298">
        <v>8</v>
      </c>
    </row>
    <row r="197" spans="2:3" ht="15" customHeight="1" x14ac:dyDescent="0.2">
      <c r="B197" s="297" t="s">
        <v>4429</v>
      </c>
      <c r="C197" s="298">
        <v>10</v>
      </c>
    </row>
    <row r="198" spans="2:3" ht="15" customHeight="1" x14ac:dyDescent="0.2">
      <c r="B198" s="297" t="s">
        <v>3708</v>
      </c>
      <c r="C198" s="298">
        <v>1</v>
      </c>
    </row>
    <row r="199" spans="2:3" ht="15" customHeight="1" x14ac:dyDescent="0.2">
      <c r="B199" s="297" t="s">
        <v>3707</v>
      </c>
      <c r="C199" s="298">
        <v>51</v>
      </c>
    </row>
    <row r="200" spans="2:3" ht="15" customHeight="1" x14ac:dyDescent="0.2">
      <c r="B200" s="297" t="s">
        <v>3710</v>
      </c>
      <c r="C200" s="298">
        <v>1</v>
      </c>
    </row>
    <row r="201" spans="2:3" ht="15" customHeight="1" x14ac:dyDescent="0.2">
      <c r="B201" s="297" t="s">
        <v>3709</v>
      </c>
      <c r="C201" s="298">
        <v>21</v>
      </c>
    </row>
    <row r="202" spans="2:3" ht="15" customHeight="1" x14ac:dyDescent="0.2">
      <c r="B202" s="297" t="s">
        <v>4505</v>
      </c>
      <c r="C202" s="298">
        <v>1</v>
      </c>
    </row>
    <row r="203" spans="2:3" ht="15" customHeight="1" x14ac:dyDescent="0.2">
      <c r="B203" s="297" t="s">
        <v>4430</v>
      </c>
      <c r="C203" s="298">
        <v>13</v>
      </c>
    </row>
    <row r="204" spans="2:3" ht="15" customHeight="1" x14ac:dyDescent="0.2">
      <c r="B204" s="297" t="s">
        <v>3711</v>
      </c>
      <c r="C204" s="298">
        <v>53</v>
      </c>
    </row>
    <row r="205" spans="2:3" ht="15" customHeight="1" x14ac:dyDescent="0.2">
      <c r="B205" s="297" t="s">
        <v>3712</v>
      </c>
      <c r="C205" s="298">
        <v>11</v>
      </c>
    </row>
    <row r="206" spans="2:3" ht="15" customHeight="1" x14ac:dyDescent="0.2">
      <c r="B206" s="297" t="s">
        <v>3713</v>
      </c>
      <c r="C206" s="298">
        <v>3</v>
      </c>
    </row>
    <row r="207" spans="2:3" ht="15" customHeight="1" x14ac:dyDescent="0.2">
      <c r="B207" s="297" t="s">
        <v>3714</v>
      </c>
      <c r="C207" s="298">
        <v>2</v>
      </c>
    </row>
    <row r="208" spans="2:3" ht="15" customHeight="1" x14ac:dyDescent="0.2">
      <c r="B208" s="297" t="s">
        <v>3715</v>
      </c>
      <c r="C208" s="298">
        <v>1</v>
      </c>
    </row>
    <row r="209" spans="2:3" ht="15" customHeight="1" x14ac:dyDescent="0.2">
      <c r="B209" s="297" t="s">
        <v>3716</v>
      </c>
      <c r="C209" s="298">
        <v>1</v>
      </c>
    </row>
    <row r="210" spans="2:3" ht="15" customHeight="1" x14ac:dyDescent="0.2">
      <c r="B210" s="297" t="s">
        <v>3717</v>
      </c>
      <c r="C210" s="298">
        <v>1</v>
      </c>
    </row>
    <row r="211" spans="2:3" ht="15" customHeight="1" x14ac:dyDescent="0.2">
      <c r="B211" s="297" t="s">
        <v>3718</v>
      </c>
      <c r="C211" s="298">
        <v>1</v>
      </c>
    </row>
    <row r="212" spans="2:3" ht="15" customHeight="1" x14ac:dyDescent="0.2">
      <c r="B212" s="297" t="s">
        <v>3719</v>
      </c>
      <c r="C212" s="298">
        <v>1</v>
      </c>
    </row>
    <row r="213" spans="2:3" ht="15" customHeight="1" x14ac:dyDescent="0.2">
      <c r="B213" s="297" t="s">
        <v>3720</v>
      </c>
      <c r="C213" s="298">
        <v>11</v>
      </c>
    </row>
    <row r="214" spans="2:3" ht="15" customHeight="1" x14ac:dyDescent="0.2">
      <c r="B214" s="297" t="s">
        <v>3721</v>
      </c>
      <c r="C214" s="298">
        <v>1</v>
      </c>
    </row>
    <row r="215" spans="2:3" ht="15" customHeight="1" x14ac:dyDescent="0.2">
      <c r="B215" s="297" t="s">
        <v>3722</v>
      </c>
      <c r="C215" s="298">
        <v>3</v>
      </c>
    </row>
    <row r="216" spans="2:3" ht="15" customHeight="1" x14ac:dyDescent="0.2">
      <c r="B216" s="297" t="s">
        <v>3723</v>
      </c>
      <c r="C216" s="298">
        <v>1</v>
      </c>
    </row>
    <row r="217" spans="2:3" ht="15" customHeight="1" x14ac:dyDescent="0.2">
      <c r="B217" s="297" t="s">
        <v>3724</v>
      </c>
      <c r="C217" s="298">
        <v>3</v>
      </c>
    </row>
    <row r="218" spans="2:3" ht="15" customHeight="1" x14ac:dyDescent="0.2">
      <c r="B218" s="297" t="s">
        <v>3725</v>
      </c>
      <c r="C218" s="298">
        <v>1</v>
      </c>
    </row>
    <row r="219" spans="2:3" ht="15" customHeight="1" x14ac:dyDescent="0.2">
      <c r="B219" s="297" t="s">
        <v>4431</v>
      </c>
      <c r="C219" s="298">
        <v>4</v>
      </c>
    </row>
    <row r="220" spans="2:3" ht="15" customHeight="1" x14ac:dyDescent="0.2">
      <c r="B220" s="297" t="s">
        <v>4431</v>
      </c>
      <c r="C220" s="298">
        <v>29</v>
      </c>
    </row>
    <row r="221" spans="2:3" ht="15" customHeight="1" x14ac:dyDescent="0.2">
      <c r="B221" s="297" t="s">
        <v>4506</v>
      </c>
      <c r="C221" s="298">
        <v>13</v>
      </c>
    </row>
    <row r="222" spans="2:3" ht="15" customHeight="1" x14ac:dyDescent="0.2">
      <c r="B222" s="297" t="s">
        <v>4432</v>
      </c>
      <c r="C222" s="298">
        <v>10</v>
      </c>
    </row>
    <row r="223" spans="2:3" ht="15" customHeight="1" x14ac:dyDescent="0.2">
      <c r="B223" s="297" t="s">
        <v>3726</v>
      </c>
      <c r="C223" s="298">
        <v>3</v>
      </c>
    </row>
    <row r="224" spans="2:3" ht="15" customHeight="1" x14ac:dyDescent="0.2">
      <c r="B224" s="297" t="s">
        <v>4433</v>
      </c>
      <c r="C224" s="298">
        <v>12</v>
      </c>
    </row>
    <row r="225" spans="2:3" ht="15" customHeight="1" x14ac:dyDescent="0.2">
      <c r="B225" s="297" t="s">
        <v>4433</v>
      </c>
      <c r="C225" s="298">
        <v>1</v>
      </c>
    </row>
    <row r="226" spans="2:3" ht="15" customHeight="1" x14ac:dyDescent="0.2">
      <c r="B226" s="297" t="s">
        <v>3727</v>
      </c>
      <c r="C226" s="298">
        <v>5</v>
      </c>
    </row>
    <row r="227" spans="2:3" ht="15" customHeight="1" x14ac:dyDescent="0.2">
      <c r="B227" s="297" t="s">
        <v>4434</v>
      </c>
      <c r="C227" s="298">
        <v>3</v>
      </c>
    </row>
    <row r="228" spans="2:3" ht="15" customHeight="1" x14ac:dyDescent="0.2">
      <c r="B228" s="297" t="s">
        <v>4435</v>
      </c>
      <c r="C228" s="298">
        <v>11</v>
      </c>
    </row>
    <row r="229" spans="2:3" ht="15" customHeight="1" x14ac:dyDescent="0.2">
      <c r="B229" s="297" t="s">
        <v>3728</v>
      </c>
      <c r="C229" s="298">
        <v>7</v>
      </c>
    </row>
    <row r="230" spans="2:3" ht="15" customHeight="1" x14ac:dyDescent="0.2">
      <c r="B230" s="297" t="s">
        <v>4436</v>
      </c>
      <c r="C230" s="298">
        <v>8</v>
      </c>
    </row>
    <row r="231" spans="2:3" ht="15" customHeight="1" x14ac:dyDescent="0.2">
      <c r="B231" s="297" t="s">
        <v>4507</v>
      </c>
      <c r="C231" s="298">
        <v>45</v>
      </c>
    </row>
    <row r="232" spans="2:3" ht="15" customHeight="1" x14ac:dyDescent="0.2">
      <c r="B232" s="297" t="s">
        <v>3729</v>
      </c>
      <c r="C232" s="298">
        <v>6</v>
      </c>
    </row>
    <row r="233" spans="2:3" ht="15" customHeight="1" x14ac:dyDescent="0.2">
      <c r="B233" s="297" t="s">
        <v>4508</v>
      </c>
      <c r="C233" s="298">
        <v>2</v>
      </c>
    </row>
    <row r="234" spans="2:3" ht="15" customHeight="1" x14ac:dyDescent="0.2">
      <c r="B234" s="297" t="s">
        <v>4437</v>
      </c>
      <c r="C234" s="298">
        <v>9</v>
      </c>
    </row>
    <row r="235" spans="2:3" ht="15" customHeight="1" x14ac:dyDescent="0.2">
      <c r="B235" s="297" t="s">
        <v>3730</v>
      </c>
      <c r="C235" s="298">
        <v>2</v>
      </c>
    </row>
    <row r="236" spans="2:3" ht="15" customHeight="1" x14ac:dyDescent="0.2">
      <c r="B236" s="297" t="s">
        <v>4438</v>
      </c>
      <c r="C236" s="298">
        <v>2</v>
      </c>
    </row>
    <row r="237" spans="2:3" ht="15" customHeight="1" x14ac:dyDescent="0.2">
      <c r="B237" s="297" t="s">
        <v>4509</v>
      </c>
      <c r="C237" s="298">
        <v>2</v>
      </c>
    </row>
    <row r="238" spans="2:3" ht="15" customHeight="1" x14ac:dyDescent="0.2">
      <c r="B238" s="297" t="s">
        <v>3731</v>
      </c>
      <c r="C238" s="298">
        <v>11</v>
      </c>
    </row>
    <row r="239" spans="2:3" ht="15" customHeight="1" x14ac:dyDescent="0.2">
      <c r="B239" s="297" t="s">
        <v>4510</v>
      </c>
      <c r="C239" s="298">
        <v>1</v>
      </c>
    </row>
    <row r="240" spans="2:3" ht="15" customHeight="1" x14ac:dyDescent="0.2">
      <c r="B240" s="297" t="s">
        <v>4510</v>
      </c>
      <c r="C240" s="298">
        <v>1</v>
      </c>
    </row>
    <row r="241" spans="2:3" ht="15" customHeight="1" x14ac:dyDescent="0.2">
      <c r="B241" s="297" t="s">
        <v>4511</v>
      </c>
      <c r="C241" s="298">
        <v>6</v>
      </c>
    </row>
    <row r="242" spans="2:3" ht="15" customHeight="1" x14ac:dyDescent="0.2">
      <c r="B242" s="297" t="s">
        <v>3732</v>
      </c>
      <c r="C242" s="298">
        <v>1</v>
      </c>
    </row>
    <row r="243" spans="2:3" ht="15" customHeight="1" x14ac:dyDescent="0.2">
      <c r="B243" s="297" t="s">
        <v>3733</v>
      </c>
      <c r="C243" s="298">
        <v>1</v>
      </c>
    </row>
    <row r="244" spans="2:3" ht="15" customHeight="1" x14ac:dyDescent="0.2">
      <c r="B244" s="297" t="s">
        <v>3734</v>
      </c>
      <c r="C244" s="298">
        <v>1</v>
      </c>
    </row>
    <row r="245" spans="2:3" ht="15" customHeight="1" x14ac:dyDescent="0.2">
      <c r="B245" s="297" t="s">
        <v>4512</v>
      </c>
      <c r="C245" s="298">
        <v>1</v>
      </c>
    </row>
    <row r="246" spans="2:3" ht="15" customHeight="1" x14ac:dyDescent="0.2">
      <c r="B246" s="297" t="s">
        <v>3735</v>
      </c>
      <c r="C246" s="298">
        <v>9</v>
      </c>
    </row>
    <row r="247" spans="2:3" ht="15" customHeight="1" x14ac:dyDescent="0.2">
      <c r="B247" s="297" t="s">
        <v>4439</v>
      </c>
      <c r="C247" s="298">
        <v>3</v>
      </c>
    </row>
    <row r="248" spans="2:3" ht="15" customHeight="1" x14ac:dyDescent="0.2">
      <c r="B248" s="297" t="s">
        <v>3736</v>
      </c>
      <c r="C248" s="298">
        <v>22</v>
      </c>
    </row>
    <row r="249" spans="2:3" ht="15" customHeight="1" x14ac:dyDescent="0.2">
      <c r="B249" s="297" t="s">
        <v>3737</v>
      </c>
      <c r="C249" s="298">
        <v>44</v>
      </c>
    </row>
    <row r="250" spans="2:3" ht="15" customHeight="1" x14ac:dyDescent="0.2">
      <c r="B250" s="297" t="s">
        <v>4513</v>
      </c>
      <c r="C250" s="298">
        <v>1</v>
      </c>
    </row>
    <row r="251" spans="2:3" ht="15" customHeight="1" x14ac:dyDescent="0.2">
      <c r="B251" s="297" t="s">
        <v>4440</v>
      </c>
      <c r="C251" s="298">
        <v>2</v>
      </c>
    </row>
    <row r="252" spans="2:3" ht="15" customHeight="1" x14ac:dyDescent="0.2">
      <c r="B252" s="297" t="s">
        <v>3738</v>
      </c>
      <c r="C252" s="298">
        <v>4</v>
      </c>
    </row>
    <row r="253" spans="2:3" ht="15" customHeight="1" x14ac:dyDescent="0.2">
      <c r="B253" s="297" t="s">
        <v>3740</v>
      </c>
      <c r="C253" s="298">
        <v>1</v>
      </c>
    </row>
    <row r="254" spans="2:3" ht="15" customHeight="1" x14ac:dyDescent="0.2">
      <c r="B254" s="297" t="s">
        <v>3739</v>
      </c>
      <c r="C254" s="298">
        <v>4</v>
      </c>
    </row>
    <row r="255" spans="2:3" ht="15" customHeight="1" x14ac:dyDescent="0.2">
      <c r="B255" s="297" t="s">
        <v>3741</v>
      </c>
      <c r="C255" s="298">
        <v>1</v>
      </c>
    </row>
    <row r="256" spans="2:3" ht="15" customHeight="1" x14ac:dyDescent="0.2">
      <c r="B256" s="297" t="s">
        <v>3742</v>
      </c>
      <c r="C256" s="298">
        <v>3</v>
      </c>
    </row>
    <row r="257" spans="2:3" ht="15" customHeight="1" x14ac:dyDescent="0.2">
      <c r="B257" s="297" t="s">
        <v>4514</v>
      </c>
      <c r="C257" s="298">
        <v>3</v>
      </c>
    </row>
    <row r="258" spans="2:3" ht="15" customHeight="1" x14ac:dyDescent="0.2">
      <c r="B258" s="297" t="s">
        <v>3743</v>
      </c>
      <c r="C258" s="298">
        <v>3</v>
      </c>
    </row>
    <row r="259" spans="2:3" ht="15" customHeight="1" x14ac:dyDescent="0.2">
      <c r="B259" s="297" t="s">
        <v>4515</v>
      </c>
      <c r="C259" s="298">
        <v>2</v>
      </c>
    </row>
    <row r="260" spans="2:3" ht="15" customHeight="1" x14ac:dyDescent="0.2">
      <c r="B260" s="297" t="s">
        <v>3744</v>
      </c>
      <c r="C260" s="298">
        <v>5</v>
      </c>
    </row>
    <row r="261" spans="2:3" ht="15" customHeight="1" x14ac:dyDescent="0.2">
      <c r="B261" s="297" t="s">
        <v>3745</v>
      </c>
      <c r="C261" s="298">
        <v>2</v>
      </c>
    </row>
    <row r="262" spans="2:3" ht="15" customHeight="1" x14ac:dyDescent="0.2">
      <c r="B262" s="297" t="s">
        <v>3746</v>
      </c>
      <c r="C262" s="298">
        <v>3</v>
      </c>
    </row>
    <row r="263" spans="2:3" ht="15" customHeight="1" x14ac:dyDescent="0.2">
      <c r="B263" s="297" t="s">
        <v>3747</v>
      </c>
      <c r="C263" s="298">
        <v>1</v>
      </c>
    </row>
    <row r="264" spans="2:3" ht="15" customHeight="1" x14ac:dyDescent="0.2">
      <c r="B264" s="297" t="s">
        <v>3748</v>
      </c>
      <c r="C264" s="298">
        <v>5</v>
      </c>
    </row>
    <row r="265" spans="2:3" ht="15" customHeight="1" x14ac:dyDescent="0.2">
      <c r="B265" s="297" t="s">
        <v>3749</v>
      </c>
      <c r="C265" s="298">
        <v>3</v>
      </c>
    </row>
    <row r="266" spans="2:3" ht="15" customHeight="1" x14ac:dyDescent="0.2">
      <c r="B266" s="297" t="s">
        <v>3751</v>
      </c>
      <c r="C266" s="298">
        <v>1</v>
      </c>
    </row>
    <row r="267" spans="2:3" ht="15" customHeight="1" x14ac:dyDescent="0.2">
      <c r="B267" s="297" t="s">
        <v>3750</v>
      </c>
      <c r="C267" s="298">
        <v>1</v>
      </c>
    </row>
    <row r="268" spans="2:3" ht="15" customHeight="1" x14ac:dyDescent="0.2">
      <c r="B268" s="297" t="s">
        <v>4516</v>
      </c>
      <c r="C268" s="298">
        <v>1</v>
      </c>
    </row>
    <row r="269" spans="2:3" ht="15" customHeight="1" x14ac:dyDescent="0.2">
      <c r="B269" s="297" t="s">
        <v>4441</v>
      </c>
      <c r="C269" s="298">
        <v>3</v>
      </c>
    </row>
    <row r="270" spans="2:3" ht="15" customHeight="1" x14ac:dyDescent="0.2">
      <c r="B270" s="297" t="s">
        <v>4442</v>
      </c>
      <c r="C270" s="298">
        <v>5</v>
      </c>
    </row>
    <row r="271" spans="2:3" ht="15" customHeight="1" x14ac:dyDescent="0.2">
      <c r="B271" s="297" t="s">
        <v>4443</v>
      </c>
      <c r="C271" s="298">
        <v>1</v>
      </c>
    </row>
    <row r="272" spans="2:3" ht="15" customHeight="1" x14ac:dyDescent="0.2">
      <c r="B272" s="297" t="s">
        <v>4517</v>
      </c>
      <c r="C272" s="298">
        <v>1</v>
      </c>
    </row>
    <row r="273" spans="2:3" ht="15" customHeight="1" x14ac:dyDescent="0.2">
      <c r="B273" s="297" t="s">
        <v>4444</v>
      </c>
      <c r="C273" s="298">
        <v>10</v>
      </c>
    </row>
    <row r="274" spans="2:3" ht="15" customHeight="1" x14ac:dyDescent="0.2">
      <c r="B274" s="297" t="s">
        <v>3752</v>
      </c>
      <c r="C274" s="298">
        <v>2</v>
      </c>
    </row>
    <row r="275" spans="2:3" ht="15" customHeight="1" x14ac:dyDescent="0.2">
      <c r="B275" s="297" t="s">
        <v>4445</v>
      </c>
      <c r="C275" s="298">
        <v>1</v>
      </c>
    </row>
    <row r="276" spans="2:3" ht="15" customHeight="1" x14ac:dyDescent="0.2">
      <c r="B276" s="297" t="s">
        <v>4445</v>
      </c>
      <c r="C276" s="298">
        <v>7</v>
      </c>
    </row>
    <row r="277" spans="2:3" ht="15" customHeight="1" x14ac:dyDescent="0.2">
      <c r="B277" s="297" t="s">
        <v>4518</v>
      </c>
      <c r="C277" s="298">
        <v>9</v>
      </c>
    </row>
    <row r="278" spans="2:3" ht="15" customHeight="1" x14ac:dyDescent="0.2">
      <c r="B278" s="297" t="s">
        <v>4446</v>
      </c>
      <c r="C278" s="298">
        <v>1</v>
      </c>
    </row>
    <row r="279" spans="2:3" ht="15" customHeight="1" x14ac:dyDescent="0.2">
      <c r="B279" s="297" t="s">
        <v>4519</v>
      </c>
      <c r="C279" s="298">
        <v>5</v>
      </c>
    </row>
    <row r="280" spans="2:3" ht="15" customHeight="1" x14ac:dyDescent="0.2">
      <c r="B280" s="297" t="s">
        <v>4447</v>
      </c>
      <c r="C280" s="298">
        <v>6</v>
      </c>
    </row>
    <row r="281" spans="2:3" ht="15" customHeight="1" x14ac:dyDescent="0.2">
      <c r="B281" s="297" t="s">
        <v>3753</v>
      </c>
      <c r="C281" s="298">
        <v>15</v>
      </c>
    </row>
    <row r="282" spans="2:3" ht="15" customHeight="1" x14ac:dyDescent="0.2">
      <c r="B282" s="297" t="s">
        <v>3754</v>
      </c>
      <c r="C282" s="298">
        <v>3</v>
      </c>
    </row>
    <row r="283" spans="2:3" ht="15" customHeight="1" x14ac:dyDescent="0.2">
      <c r="B283" s="297" t="s">
        <v>3756</v>
      </c>
      <c r="C283" s="298">
        <v>3</v>
      </c>
    </row>
    <row r="284" spans="2:3" ht="15" customHeight="1" x14ac:dyDescent="0.2">
      <c r="B284" s="297" t="s">
        <v>3755</v>
      </c>
      <c r="C284" s="298">
        <v>1</v>
      </c>
    </row>
    <row r="285" spans="2:3" ht="15" customHeight="1" x14ac:dyDescent="0.2">
      <c r="B285" s="297" t="s">
        <v>3757</v>
      </c>
      <c r="C285" s="298">
        <v>27</v>
      </c>
    </row>
    <row r="286" spans="2:3" ht="15" customHeight="1" x14ac:dyDescent="0.2">
      <c r="B286" s="297" t="s">
        <v>3758</v>
      </c>
      <c r="C286" s="298">
        <v>2</v>
      </c>
    </row>
    <row r="287" spans="2:3" ht="15" customHeight="1" x14ac:dyDescent="0.2">
      <c r="B287" s="297" t="s">
        <v>4520</v>
      </c>
      <c r="C287" s="298">
        <v>1</v>
      </c>
    </row>
    <row r="288" spans="2:3" ht="15" customHeight="1" x14ac:dyDescent="0.2">
      <c r="B288" s="297" t="s">
        <v>3759</v>
      </c>
      <c r="C288" s="298">
        <v>2</v>
      </c>
    </row>
    <row r="289" spans="2:3" ht="15" customHeight="1" x14ac:dyDescent="0.2">
      <c r="B289" s="297" t="s">
        <v>3760</v>
      </c>
      <c r="C289" s="298">
        <v>1</v>
      </c>
    </row>
    <row r="290" spans="2:3" ht="15" customHeight="1" x14ac:dyDescent="0.2">
      <c r="B290" s="297" t="s">
        <v>3761</v>
      </c>
      <c r="C290" s="298">
        <v>2</v>
      </c>
    </row>
    <row r="291" spans="2:3" ht="15" customHeight="1" x14ac:dyDescent="0.2">
      <c r="B291" s="297" t="s">
        <v>4521</v>
      </c>
      <c r="C291" s="298">
        <v>4</v>
      </c>
    </row>
    <row r="292" spans="2:3" ht="15" customHeight="1" x14ac:dyDescent="0.2">
      <c r="B292" s="297" t="s">
        <v>4448</v>
      </c>
      <c r="C292" s="298">
        <v>1</v>
      </c>
    </row>
    <row r="293" spans="2:3" ht="15" customHeight="1" x14ac:dyDescent="0.2">
      <c r="B293" s="297" t="s">
        <v>3762</v>
      </c>
      <c r="C293" s="298">
        <v>3</v>
      </c>
    </row>
    <row r="294" spans="2:3" ht="15" customHeight="1" x14ac:dyDescent="0.2">
      <c r="B294" s="297" t="s">
        <v>4522</v>
      </c>
      <c r="C294" s="298">
        <v>2</v>
      </c>
    </row>
    <row r="295" spans="2:3" ht="15" customHeight="1" x14ac:dyDescent="0.2">
      <c r="B295" s="297" t="s">
        <v>3763</v>
      </c>
      <c r="C295" s="298">
        <v>4</v>
      </c>
    </row>
    <row r="296" spans="2:3" ht="15" customHeight="1" x14ac:dyDescent="0.2">
      <c r="B296" s="297" t="s">
        <v>4523</v>
      </c>
      <c r="C296" s="298">
        <v>1</v>
      </c>
    </row>
    <row r="297" spans="2:3" ht="15" customHeight="1" x14ac:dyDescent="0.2">
      <c r="B297" s="297" t="s">
        <v>3764</v>
      </c>
      <c r="C297" s="298">
        <v>5</v>
      </c>
    </row>
    <row r="298" spans="2:3" ht="15" customHeight="1" x14ac:dyDescent="0.2">
      <c r="B298" s="297" t="s">
        <v>4449</v>
      </c>
      <c r="C298" s="298">
        <v>1</v>
      </c>
    </row>
    <row r="299" spans="2:3" ht="15" customHeight="1" x14ac:dyDescent="0.2">
      <c r="B299" s="297" t="s">
        <v>3765</v>
      </c>
      <c r="C299" s="298">
        <v>12</v>
      </c>
    </row>
    <row r="300" spans="2:3" ht="15" customHeight="1" x14ac:dyDescent="0.2">
      <c r="B300" s="297" t="s">
        <v>4450</v>
      </c>
      <c r="C300" s="298">
        <v>1</v>
      </c>
    </row>
    <row r="301" spans="2:3" ht="15" customHeight="1" x14ac:dyDescent="0.2">
      <c r="B301" s="297" t="s">
        <v>3766</v>
      </c>
      <c r="C301" s="298">
        <v>4</v>
      </c>
    </row>
    <row r="302" spans="2:3" ht="15" customHeight="1" x14ac:dyDescent="0.2">
      <c r="B302" s="297" t="s">
        <v>4524</v>
      </c>
      <c r="C302" s="298">
        <v>2</v>
      </c>
    </row>
    <row r="303" spans="2:3" ht="15" customHeight="1" x14ac:dyDescent="0.2">
      <c r="B303" s="297" t="s">
        <v>3767</v>
      </c>
      <c r="C303" s="298">
        <v>1</v>
      </c>
    </row>
    <row r="304" spans="2:3" ht="15" customHeight="1" x14ac:dyDescent="0.2">
      <c r="B304" s="297" t="s">
        <v>3768</v>
      </c>
      <c r="C304" s="298">
        <v>1</v>
      </c>
    </row>
    <row r="305" spans="2:3" ht="15" customHeight="1" x14ac:dyDescent="0.2">
      <c r="B305" s="297" t="s">
        <v>4525</v>
      </c>
      <c r="C305" s="298">
        <v>4</v>
      </c>
    </row>
    <row r="306" spans="2:3" ht="15" customHeight="1" x14ac:dyDescent="0.2">
      <c r="B306" s="297" t="s">
        <v>4451</v>
      </c>
      <c r="C306" s="298">
        <v>2</v>
      </c>
    </row>
    <row r="307" spans="2:3" ht="15" customHeight="1" x14ac:dyDescent="0.2">
      <c r="B307" s="297" t="s">
        <v>3769</v>
      </c>
      <c r="C307" s="298">
        <v>3</v>
      </c>
    </row>
    <row r="308" spans="2:3" ht="15" customHeight="1" x14ac:dyDescent="0.2">
      <c r="B308" s="297" t="s">
        <v>3770</v>
      </c>
      <c r="C308" s="298">
        <v>1</v>
      </c>
    </row>
    <row r="309" spans="2:3" ht="15" customHeight="1" x14ac:dyDescent="0.2">
      <c r="B309" s="297" t="s">
        <v>3771</v>
      </c>
      <c r="C309" s="298">
        <v>1</v>
      </c>
    </row>
    <row r="310" spans="2:3" ht="15" customHeight="1" x14ac:dyDescent="0.2">
      <c r="B310" s="297" t="s">
        <v>3772</v>
      </c>
      <c r="C310" s="298">
        <v>1</v>
      </c>
    </row>
    <row r="311" spans="2:3" ht="15" customHeight="1" x14ac:dyDescent="0.2">
      <c r="B311" s="297" t="s">
        <v>3773</v>
      </c>
      <c r="C311" s="298">
        <v>1</v>
      </c>
    </row>
    <row r="312" spans="2:3" ht="15" customHeight="1" x14ac:dyDescent="0.2">
      <c r="B312" s="297" t="s">
        <v>4452</v>
      </c>
      <c r="C312" s="298">
        <v>3</v>
      </c>
    </row>
    <row r="313" spans="2:3" ht="15" customHeight="1" x14ac:dyDescent="0.2">
      <c r="B313" s="297" t="s">
        <v>3774</v>
      </c>
      <c r="C313" s="298">
        <v>6</v>
      </c>
    </row>
    <row r="314" spans="2:3" ht="15" customHeight="1" x14ac:dyDescent="0.2">
      <c r="B314" s="297" t="s">
        <v>4526</v>
      </c>
      <c r="C314" s="298">
        <v>7</v>
      </c>
    </row>
    <row r="315" spans="2:3" ht="15" customHeight="1" x14ac:dyDescent="0.2">
      <c r="B315" s="297" t="s">
        <v>3775</v>
      </c>
      <c r="C315" s="298">
        <v>62</v>
      </c>
    </row>
    <row r="316" spans="2:3" ht="15" customHeight="1" x14ac:dyDescent="0.2">
      <c r="B316" s="297" t="s">
        <v>3776</v>
      </c>
      <c r="C316" s="298">
        <v>25</v>
      </c>
    </row>
    <row r="317" spans="2:3" ht="15" customHeight="1" x14ac:dyDescent="0.2">
      <c r="B317" s="297" t="s">
        <v>3777</v>
      </c>
      <c r="C317" s="298">
        <v>3</v>
      </c>
    </row>
    <row r="318" spans="2:3" ht="15" customHeight="1" x14ac:dyDescent="0.2">
      <c r="B318" s="297" t="s">
        <v>3778</v>
      </c>
      <c r="C318" s="298">
        <v>7</v>
      </c>
    </row>
    <row r="319" spans="2:3" ht="15" customHeight="1" x14ac:dyDescent="0.2">
      <c r="B319" s="297" t="s">
        <v>4527</v>
      </c>
      <c r="C319" s="298">
        <v>1</v>
      </c>
    </row>
    <row r="320" spans="2:3" ht="15" customHeight="1" x14ac:dyDescent="0.2">
      <c r="B320" s="297" t="s">
        <v>3780</v>
      </c>
      <c r="C320" s="298">
        <v>1</v>
      </c>
    </row>
    <row r="321" spans="2:3" ht="15" customHeight="1" x14ac:dyDescent="0.2">
      <c r="B321" s="297" t="s">
        <v>3781</v>
      </c>
      <c r="C321" s="298">
        <v>2</v>
      </c>
    </row>
    <row r="322" spans="2:3" ht="15" customHeight="1" x14ac:dyDescent="0.2">
      <c r="B322" s="297" t="s">
        <v>3779</v>
      </c>
      <c r="C322" s="298">
        <v>4</v>
      </c>
    </row>
    <row r="323" spans="2:3" ht="15" customHeight="1" x14ac:dyDescent="0.2">
      <c r="B323" s="297" t="s">
        <v>3783</v>
      </c>
      <c r="C323" s="298">
        <v>1</v>
      </c>
    </row>
    <row r="324" spans="2:3" ht="15" customHeight="1" x14ac:dyDescent="0.2">
      <c r="B324" s="297" t="s">
        <v>3782</v>
      </c>
      <c r="C324" s="298">
        <v>13</v>
      </c>
    </row>
    <row r="325" spans="2:3" ht="15" customHeight="1" x14ac:dyDescent="0.2">
      <c r="B325" s="297" t="s">
        <v>3784</v>
      </c>
      <c r="C325" s="298">
        <v>1</v>
      </c>
    </row>
    <row r="326" spans="2:3" ht="15" customHeight="1" x14ac:dyDescent="0.2">
      <c r="B326" s="297" t="s">
        <v>3785</v>
      </c>
      <c r="C326" s="298">
        <v>3</v>
      </c>
    </row>
    <row r="327" spans="2:3" ht="15" customHeight="1" x14ac:dyDescent="0.2">
      <c r="B327" s="297" t="s">
        <v>3786</v>
      </c>
      <c r="C327" s="298">
        <v>14</v>
      </c>
    </row>
    <row r="328" spans="2:3" ht="15" customHeight="1" x14ac:dyDescent="0.2">
      <c r="B328" s="297" t="s">
        <v>4528</v>
      </c>
      <c r="C328" s="298">
        <v>1</v>
      </c>
    </row>
    <row r="329" spans="2:3" ht="15" customHeight="1" x14ac:dyDescent="0.2">
      <c r="B329" s="297" t="s">
        <v>3787</v>
      </c>
      <c r="C329" s="298">
        <v>3</v>
      </c>
    </row>
    <row r="330" spans="2:3" ht="15" customHeight="1" x14ac:dyDescent="0.2">
      <c r="B330" s="297" t="s">
        <v>3788</v>
      </c>
      <c r="C330" s="298">
        <v>2</v>
      </c>
    </row>
    <row r="331" spans="2:3" ht="15" customHeight="1" x14ac:dyDescent="0.2">
      <c r="B331" s="297" t="s">
        <v>3789</v>
      </c>
      <c r="C331" s="298">
        <v>1</v>
      </c>
    </row>
    <row r="332" spans="2:3" ht="15" customHeight="1" x14ac:dyDescent="0.2">
      <c r="B332" s="297" t="s">
        <v>3790</v>
      </c>
      <c r="C332" s="298">
        <v>2</v>
      </c>
    </row>
    <row r="333" spans="2:3" ht="15" customHeight="1" x14ac:dyDescent="0.2">
      <c r="B333" s="297" t="s">
        <v>3791</v>
      </c>
      <c r="C333" s="298">
        <v>1</v>
      </c>
    </row>
    <row r="334" spans="2:3" ht="15" customHeight="1" x14ac:dyDescent="0.2">
      <c r="B334" s="297" t="s">
        <v>3792</v>
      </c>
      <c r="C334" s="298">
        <v>2</v>
      </c>
    </row>
    <row r="335" spans="2:3" ht="15" customHeight="1" x14ac:dyDescent="0.2">
      <c r="B335" s="297" t="s">
        <v>4529</v>
      </c>
      <c r="C335" s="298">
        <v>1</v>
      </c>
    </row>
    <row r="336" spans="2:3" ht="15" customHeight="1" x14ac:dyDescent="0.2">
      <c r="B336" s="297" t="s">
        <v>3793</v>
      </c>
      <c r="C336" s="298">
        <v>3</v>
      </c>
    </row>
    <row r="337" spans="2:3" ht="15" customHeight="1" x14ac:dyDescent="0.2">
      <c r="B337" s="297" t="s">
        <v>3794</v>
      </c>
      <c r="C337" s="298">
        <v>2</v>
      </c>
    </row>
    <row r="338" spans="2:3" ht="15" customHeight="1" x14ac:dyDescent="0.2">
      <c r="B338" s="297" t="s">
        <v>3795</v>
      </c>
      <c r="C338" s="298">
        <v>1</v>
      </c>
    </row>
    <row r="339" spans="2:3" ht="15" customHeight="1" x14ac:dyDescent="0.2">
      <c r="B339" s="297" t="s">
        <v>3796</v>
      </c>
      <c r="C339" s="298">
        <v>2</v>
      </c>
    </row>
    <row r="340" spans="2:3" ht="15" customHeight="1" x14ac:dyDescent="0.2">
      <c r="B340" s="297" t="s">
        <v>3797</v>
      </c>
      <c r="C340" s="298">
        <v>1</v>
      </c>
    </row>
    <row r="341" spans="2:3" ht="15" customHeight="1" x14ac:dyDescent="0.2">
      <c r="B341" s="297" t="s">
        <v>3798</v>
      </c>
      <c r="C341" s="298">
        <v>10</v>
      </c>
    </row>
    <row r="342" spans="2:3" ht="15" customHeight="1" x14ac:dyDescent="0.2">
      <c r="B342" s="297" t="s">
        <v>4530</v>
      </c>
      <c r="C342" s="298">
        <v>20</v>
      </c>
    </row>
    <row r="343" spans="2:3" ht="15" customHeight="1" x14ac:dyDescent="0.2">
      <c r="B343" s="297" t="s">
        <v>3799</v>
      </c>
      <c r="C343" s="298">
        <v>9</v>
      </c>
    </row>
    <row r="344" spans="2:3" ht="15" customHeight="1" x14ac:dyDescent="0.2">
      <c r="B344" s="297" t="s">
        <v>4531</v>
      </c>
      <c r="C344" s="298">
        <v>9</v>
      </c>
    </row>
    <row r="345" spans="2:3" ht="15" customHeight="1" x14ac:dyDescent="0.2">
      <c r="B345" s="297" t="s">
        <v>3800</v>
      </c>
      <c r="C345" s="298">
        <v>5</v>
      </c>
    </row>
    <row r="346" spans="2:3" ht="15" customHeight="1" x14ac:dyDescent="0.2">
      <c r="B346" s="297" t="s">
        <v>4532</v>
      </c>
      <c r="C346" s="298">
        <v>15</v>
      </c>
    </row>
    <row r="347" spans="2:3" ht="15" customHeight="1" x14ac:dyDescent="0.2">
      <c r="B347" s="297" t="s">
        <v>4453</v>
      </c>
      <c r="C347" s="298">
        <v>1</v>
      </c>
    </row>
    <row r="348" spans="2:3" ht="12.75" x14ac:dyDescent="0.2">
      <c r="B348" s="297" t="s">
        <v>3801</v>
      </c>
      <c r="C348" s="298">
        <v>6</v>
      </c>
    </row>
    <row r="349" spans="2:3" ht="15" customHeight="1" x14ac:dyDescent="0.2">
      <c r="B349" s="297" t="s">
        <v>4454</v>
      </c>
      <c r="C349" s="298">
        <v>11</v>
      </c>
    </row>
    <row r="350" spans="2:3" ht="15" customHeight="1" x14ac:dyDescent="0.2">
      <c r="B350" s="297" t="s">
        <v>3802</v>
      </c>
      <c r="C350" s="298">
        <v>5</v>
      </c>
    </row>
    <row r="351" spans="2:3" ht="15" customHeight="1" x14ac:dyDescent="0.2">
      <c r="B351" s="297" t="s">
        <v>4455</v>
      </c>
      <c r="C351" s="298">
        <v>4</v>
      </c>
    </row>
    <row r="352" spans="2:3" ht="15" customHeight="1" x14ac:dyDescent="0.2">
      <c r="B352" s="297" t="s">
        <v>4533</v>
      </c>
      <c r="C352" s="298">
        <v>5</v>
      </c>
    </row>
    <row r="353" spans="2:3" ht="15" customHeight="1" x14ac:dyDescent="0.2">
      <c r="B353" s="297" t="s">
        <v>3803</v>
      </c>
      <c r="C353" s="298">
        <v>20</v>
      </c>
    </row>
    <row r="354" spans="2:3" ht="15" customHeight="1" x14ac:dyDescent="0.2">
      <c r="B354" s="297" t="s">
        <v>4534</v>
      </c>
      <c r="C354" s="298">
        <v>1</v>
      </c>
    </row>
    <row r="355" spans="2:3" ht="15" customHeight="1" x14ac:dyDescent="0.2">
      <c r="B355" s="297" t="s">
        <v>4535</v>
      </c>
      <c r="C355" s="298">
        <v>7</v>
      </c>
    </row>
    <row r="356" spans="2:3" ht="15" customHeight="1" x14ac:dyDescent="0.2">
      <c r="B356" s="297" t="s">
        <v>3804</v>
      </c>
      <c r="C356" s="298">
        <v>1</v>
      </c>
    </row>
    <row r="357" spans="2:3" ht="15" customHeight="1" x14ac:dyDescent="0.2">
      <c r="B357" s="297" t="s">
        <v>4536</v>
      </c>
      <c r="C357" s="298">
        <v>2</v>
      </c>
    </row>
    <row r="358" spans="2:3" ht="15" customHeight="1" x14ac:dyDescent="0.2">
      <c r="B358" s="297" t="s">
        <v>3805</v>
      </c>
      <c r="C358" s="298">
        <v>7</v>
      </c>
    </row>
    <row r="359" spans="2:3" ht="12.75" x14ac:dyDescent="0.2">
      <c r="B359" s="297" t="s">
        <v>4456</v>
      </c>
      <c r="C359" s="298">
        <v>3</v>
      </c>
    </row>
    <row r="360" spans="2:3" ht="12.75" x14ac:dyDescent="0.2">
      <c r="B360" s="297" t="s">
        <v>4457</v>
      </c>
      <c r="C360" s="298">
        <v>9</v>
      </c>
    </row>
    <row r="361" spans="2:3" ht="12.75" x14ac:dyDescent="0.2">
      <c r="B361" s="297" t="s">
        <v>4537</v>
      </c>
      <c r="C361" s="298">
        <v>2</v>
      </c>
    </row>
    <row r="362" spans="2:3" ht="12.75" x14ac:dyDescent="0.2">
      <c r="B362" s="297" t="s">
        <v>4538</v>
      </c>
      <c r="C362" s="298">
        <v>1</v>
      </c>
    </row>
    <row r="363" spans="2:3" ht="15" customHeight="1" x14ac:dyDescent="0.2">
      <c r="B363" s="297" t="s">
        <v>3806</v>
      </c>
      <c r="C363" s="298">
        <v>1</v>
      </c>
    </row>
    <row r="364" spans="2:3" ht="15" customHeight="1" x14ac:dyDescent="0.2">
      <c r="B364" s="297" t="s">
        <v>3807</v>
      </c>
      <c r="C364" s="298">
        <v>7.0000000000000007E-2</v>
      </c>
    </row>
    <row r="365" spans="2:3" ht="15" customHeight="1" x14ac:dyDescent="0.2">
      <c r="B365" s="297" t="s">
        <v>3808</v>
      </c>
      <c r="C365" s="298">
        <v>10</v>
      </c>
    </row>
    <row r="366" spans="2:3" ht="15" customHeight="1" x14ac:dyDescent="0.2">
      <c r="B366" s="297" t="s">
        <v>4458</v>
      </c>
      <c r="C366" s="298">
        <v>1</v>
      </c>
    </row>
    <row r="367" spans="2:3" ht="15" customHeight="1" x14ac:dyDescent="0.2">
      <c r="B367" s="297" t="s">
        <v>4459</v>
      </c>
      <c r="C367" s="298">
        <v>1</v>
      </c>
    </row>
    <row r="368" spans="2:3" ht="15" customHeight="1" x14ac:dyDescent="0.2">
      <c r="B368" s="297" t="s">
        <v>3809</v>
      </c>
      <c r="C368" s="298">
        <v>1</v>
      </c>
    </row>
    <row r="369" spans="2:3" ht="15" customHeight="1" x14ac:dyDescent="0.2">
      <c r="B369" s="297" t="s">
        <v>4539</v>
      </c>
      <c r="C369" s="298">
        <v>2</v>
      </c>
    </row>
    <row r="370" spans="2:3" ht="15" customHeight="1" x14ac:dyDescent="0.2">
      <c r="B370" s="297" t="s">
        <v>3810</v>
      </c>
      <c r="C370" s="298">
        <v>2</v>
      </c>
    </row>
    <row r="371" spans="2:3" ht="15" customHeight="1" x14ac:dyDescent="0.2">
      <c r="B371" s="297" t="s">
        <v>4460</v>
      </c>
      <c r="C371" s="298">
        <v>5</v>
      </c>
    </row>
    <row r="372" spans="2:3" ht="15" customHeight="1" x14ac:dyDescent="0.2">
      <c r="B372" s="297" t="s">
        <v>4460</v>
      </c>
      <c r="C372" s="298">
        <v>2</v>
      </c>
    </row>
    <row r="373" spans="2:3" ht="15" customHeight="1" x14ac:dyDescent="0.2">
      <c r="B373" s="297" t="s">
        <v>4540</v>
      </c>
      <c r="C373" s="298">
        <v>3</v>
      </c>
    </row>
    <row r="374" spans="2:3" ht="15" customHeight="1" x14ac:dyDescent="0.2">
      <c r="B374" s="297" t="s">
        <v>3811</v>
      </c>
      <c r="C374" s="298">
        <v>1</v>
      </c>
    </row>
    <row r="375" spans="2:3" ht="15" customHeight="1" x14ac:dyDescent="0.2">
      <c r="B375" s="297" t="s">
        <v>4541</v>
      </c>
      <c r="C375" s="298">
        <v>1</v>
      </c>
    </row>
    <row r="376" spans="2:3" ht="15" customHeight="1" x14ac:dyDescent="0.2">
      <c r="B376" s="297" t="s">
        <v>4461</v>
      </c>
      <c r="C376" s="298">
        <v>1</v>
      </c>
    </row>
    <row r="377" spans="2:3" ht="15" customHeight="1" x14ac:dyDescent="0.2">
      <c r="B377" s="297" t="s">
        <v>4542</v>
      </c>
      <c r="C377" s="298">
        <v>4</v>
      </c>
    </row>
    <row r="378" spans="2:3" ht="15" customHeight="1" x14ac:dyDescent="0.2">
      <c r="B378" s="297" t="s">
        <v>3812</v>
      </c>
      <c r="C378" s="298">
        <v>1</v>
      </c>
    </row>
    <row r="379" spans="2:3" ht="15" customHeight="1" x14ac:dyDescent="0.2">
      <c r="B379" s="297" t="s">
        <v>3813</v>
      </c>
      <c r="C379" s="298">
        <v>5</v>
      </c>
    </row>
    <row r="380" spans="2:3" ht="15" customHeight="1" x14ac:dyDescent="0.2">
      <c r="B380" s="297" t="s">
        <v>4543</v>
      </c>
      <c r="C380" s="298">
        <v>4</v>
      </c>
    </row>
    <row r="381" spans="2:3" ht="15" customHeight="1" x14ac:dyDescent="0.2">
      <c r="B381" s="297" t="s">
        <v>3814</v>
      </c>
      <c r="C381" s="298">
        <v>1</v>
      </c>
    </row>
    <row r="382" spans="2:3" ht="15" customHeight="1" x14ac:dyDescent="0.2">
      <c r="B382" s="297" t="s">
        <v>4544</v>
      </c>
      <c r="C382" s="298">
        <v>12</v>
      </c>
    </row>
    <row r="383" spans="2:3" ht="15" customHeight="1" x14ac:dyDescent="0.2">
      <c r="B383" s="297" t="s">
        <v>4545</v>
      </c>
      <c r="C383" s="298">
        <v>4</v>
      </c>
    </row>
    <row r="384" spans="2:3" ht="15" customHeight="1" x14ac:dyDescent="0.2">
      <c r="B384" s="297" t="s">
        <v>3815</v>
      </c>
      <c r="C384" s="298">
        <v>1</v>
      </c>
    </row>
    <row r="385" spans="2:3" ht="15" customHeight="1" x14ac:dyDescent="0.2">
      <c r="B385" s="297" t="s">
        <v>4546</v>
      </c>
      <c r="C385" s="298">
        <v>1</v>
      </c>
    </row>
    <row r="386" spans="2:3" ht="15" customHeight="1" x14ac:dyDescent="0.2">
      <c r="B386" s="297" t="s">
        <v>3816</v>
      </c>
      <c r="C386" s="298">
        <v>1</v>
      </c>
    </row>
    <row r="387" spans="2:3" ht="15" customHeight="1" x14ac:dyDescent="0.2">
      <c r="B387" s="297" t="s">
        <v>3817</v>
      </c>
      <c r="C387" s="298">
        <v>5</v>
      </c>
    </row>
    <row r="388" spans="2:3" ht="15" customHeight="1" x14ac:dyDescent="0.2">
      <c r="B388" s="297" t="s">
        <v>3818</v>
      </c>
      <c r="C388" s="298">
        <v>1</v>
      </c>
    </row>
    <row r="389" spans="2:3" ht="15" customHeight="1" x14ac:dyDescent="0.2">
      <c r="B389" s="297" t="s">
        <v>3819</v>
      </c>
      <c r="C389" s="298">
        <v>1</v>
      </c>
    </row>
    <row r="390" spans="2:3" ht="15" customHeight="1" x14ac:dyDescent="0.2">
      <c r="B390" s="297" t="s">
        <v>3820</v>
      </c>
      <c r="C390" s="298">
        <v>2</v>
      </c>
    </row>
    <row r="391" spans="2:3" ht="15" customHeight="1" x14ac:dyDescent="0.2">
      <c r="B391" s="297" t="s">
        <v>3821</v>
      </c>
      <c r="C391" s="298">
        <v>14</v>
      </c>
    </row>
    <row r="392" spans="2:3" ht="15" customHeight="1" x14ac:dyDescent="0.2">
      <c r="B392" s="297" t="s">
        <v>3822</v>
      </c>
      <c r="C392" s="298">
        <v>1</v>
      </c>
    </row>
    <row r="393" spans="2:3" ht="15" customHeight="1" x14ac:dyDescent="0.2">
      <c r="B393" s="297" t="s">
        <v>3823</v>
      </c>
      <c r="C393" s="298">
        <v>2</v>
      </c>
    </row>
    <row r="394" spans="2:3" ht="15" customHeight="1" x14ac:dyDescent="0.2">
      <c r="B394" s="297" t="s">
        <v>3824</v>
      </c>
      <c r="C394" s="298">
        <v>2</v>
      </c>
    </row>
    <row r="395" spans="2:3" ht="15" customHeight="1" x14ac:dyDescent="0.2">
      <c r="B395" s="297" t="s">
        <v>3826</v>
      </c>
      <c r="C395" s="298">
        <v>7</v>
      </c>
    </row>
    <row r="396" spans="2:3" ht="15" customHeight="1" x14ac:dyDescent="0.2">
      <c r="B396" s="297" t="s">
        <v>3825</v>
      </c>
      <c r="C396" s="298">
        <v>3</v>
      </c>
    </row>
    <row r="397" spans="2:3" ht="15" customHeight="1" x14ac:dyDescent="0.2">
      <c r="B397" s="297" t="s">
        <v>3827</v>
      </c>
      <c r="C397" s="298">
        <v>20</v>
      </c>
    </row>
    <row r="398" spans="2:3" ht="15" customHeight="1" x14ac:dyDescent="0.2">
      <c r="B398" s="297" t="s">
        <v>4547</v>
      </c>
      <c r="C398" s="298">
        <v>92</v>
      </c>
    </row>
    <row r="399" spans="2:3" ht="15" customHeight="1" x14ac:dyDescent="0.2">
      <c r="B399" s="297" t="s">
        <v>3828</v>
      </c>
      <c r="C399" s="298">
        <v>3</v>
      </c>
    </row>
    <row r="400" spans="2:3" ht="15" customHeight="1" x14ac:dyDescent="0.2">
      <c r="B400" s="297" t="s">
        <v>3829</v>
      </c>
      <c r="C400" s="298">
        <v>3</v>
      </c>
    </row>
    <row r="401" spans="2:3" ht="15" customHeight="1" x14ac:dyDescent="0.2">
      <c r="B401" s="297" t="s">
        <v>4548</v>
      </c>
      <c r="C401" s="298">
        <v>40</v>
      </c>
    </row>
    <row r="402" spans="2:3" ht="15" customHeight="1" x14ac:dyDescent="0.2">
      <c r="B402" s="297" t="s">
        <v>4549</v>
      </c>
      <c r="C402" s="298">
        <v>26</v>
      </c>
    </row>
    <row r="403" spans="2:3" ht="15" customHeight="1" x14ac:dyDescent="0.2">
      <c r="B403" s="297" t="s">
        <v>4550</v>
      </c>
      <c r="C403" s="298">
        <v>11</v>
      </c>
    </row>
    <row r="404" spans="2:3" ht="15" customHeight="1" x14ac:dyDescent="0.2">
      <c r="B404" s="297" t="s">
        <v>3830</v>
      </c>
      <c r="C404" s="298">
        <v>2</v>
      </c>
    </row>
    <row r="405" spans="2:3" ht="15" customHeight="1" x14ac:dyDescent="0.2">
      <c r="B405" s="297" t="s">
        <v>3831</v>
      </c>
      <c r="C405" s="298">
        <v>10</v>
      </c>
    </row>
    <row r="406" spans="2:3" ht="15" customHeight="1" x14ac:dyDescent="0.2">
      <c r="B406" s="297" t="s">
        <v>3832</v>
      </c>
      <c r="C406" s="298">
        <v>23</v>
      </c>
    </row>
    <row r="407" spans="2:3" ht="15" customHeight="1" x14ac:dyDescent="0.2">
      <c r="B407" s="297" t="s">
        <v>3833</v>
      </c>
      <c r="C407" s="298">
        <v>5</v>
      </c>
    </row>
    <row r="408" spans="2:3" ht="15" customHeight="1" x14ac:dyDescent="0.2">
      <c r="B408" s="297" t="s">
        <v>3834</v>
      </c>
      <c r="C408" s="298">
        <v>1</v>
      </c>
    </row>
    <row r="409" spans="2:3" ht="15" customHeight="1" x14ac:dyDescent="0.2">
      <c r="B409" s="297" t="s">
        <v>3835</v>
      </c>
      <c r="C409" s="298">
        <v>3</v>
      </c>
    </row>
    <row r="410" spans="2:3" ht="15" customHeight="1" x14ac:dyDescent="0.2">
      <c r="B410" s="297" t="s">
        <v>3836</v>
      </c>
      <c r="C410" s="298">
        <v>11</v>
      </c>
    </row>
    <row r="411" spans="2:3" ht="15" customHeight="1" x14ac:dyDescent="0.2">
      <c r="B411" s="297" t="s">
        <v>3837</v>
      </c>
      <c r="C411" s="298">
        <v>8</v>
      </c>
    </row>
    <row r="412" spans="2:3" ht="15" customHeight="1" x14ac:dyDescent="0.2">
      <c r="B412" s="297" t="s">
        <v>4551</v>
      </c>
      <c r="C412" s="298">
        <v>6</v>
      </c>
    </row>
    <row r="413" spans="2:3" ht="15" customHeight="1" x14ac:dyDescent="0.2">
      <c r="B413" s="297" t="s">
        <v>3838</v>
      </c>
      <c r="C413" s="298">
        <v>1</v>
      </c>
    </row>
    <row r="414" spans="2:3" ht="15" customHeight="1" x14ac:dyDescent="0.2">
      <c r="B414" s="297" t="s">
        <v>3839</v>
      </c>
      <c r="C414" s="298">
        <v>10</v>
      </c>
    </row>
    <row r="415" spans="2:3" ht="15" customHeight="1" x14ac:dyDescent="0.2">
      <c r="B415" s="297" t="s">
        <v>4552</v>
      </c>
      <c r="C415" s="298">
        <v>8</v>
      </c>
    </row>
    <row r="416" spans="2:3" ht="15" customHeight="1" x14ac:dyDescent="0.2">
      <c r="B416" s="297" t="s">
        <v>4553</v>
      </c>
      <c r="C416" s="298">
        <v>20</v>
      </c>
    </row>
    <row r="417" spans="2:3" ht="15" customHeight="1" x14ac:dyDescent="0.2">
      <c r="B417" s="297" t="s">
        <v>3840</v>
      </c>
      <c r="C417" s="298">
        <v>4</v>
      </c>
    </row>
    <row r="418" spans="2:3" ht="15" customHeight="1" x14ac:dyDescent="0.2">
      <c r="B418" s="297" t="s">
        <v>3841</v>
      </c>
      <c r="C418" s="298">
        <v>12</v>
      </c>
    </row>
    <row r="419" spans="2:3" ht="15" customHeight="1" x14ac:dyDescent="0.2">
      <c r="B419" s="297" t="s">
        <v>4554</v>
      </c>
      <c r="C419" s="298">
        <v>10</v>
      </c>
    </row>
    <row r="420" spans="2:3" ht="15" customHeight="1" x14ac:dyDescent="0.2">
      <c r="B420" s="297" t="s">
        <v>3842</v>
      </c>
      <c r="C420" s="298">
        <v>1</v>
      </c>
    </row>
    <row r="421" spans="2:3" ht="15" customHeight="1" x14ac:dyDescent="0.2">
      <c r="B421" s="297" t="s">
        <v>3843</v>
      </c>
      <c r="C421" s="298">
        <v>7</v>
      </c>
    </row>
    <row r="422" spans="2:3" ht="15" customHeight="1" x14ac:dyDescent="0.2">
      <c r="B422" s="297" t="s">
        <v>3844</v>
      </c>
      <c r="C422" s="298">
        <v>1</v>
      </c>
    </row>
    <row r="423" spans="2:3" ht="15" customHeight="1" x14ac:dyDescent="0.2">
      <c r="B423" s="297" t="s">
        <v>3845</v>
      </c>
      <c r="C423" s="298">
        <v>4</v>
      </c>
    </row>
    <row r="424" spans="2:3" ht="15" customHeight="1" x14ac:dyDescent="0.2">
      <c r="B424" s="297" t="s">
        <v>3846</v>
      </c>
      <c r="C424" s="298">
        <v>1</v>
      </c>
    </row>
    <row r="425" spans="2:3" ht="15" customHeight="1" x14ac:dyDescent="0.2">
      <c r="B425" s="297" t="s">
        <v>3847</v>
      </c>
      <c r="C425" s="298">
        <v>4</v>
      </c>
    </row>
    <row r="426" spans="2:3" ht="15" customHeight="1" x14ac:dyDescent="0.2">
      <c r="B426" s="297" t="s">
        <v>3848</v>
      </c>
      <c r="C426" s="298">
        <v>2</v>
      </c>
    </row>
    <row r="427" spans="2:3" ht="15" customHeight="1" x14ac:dyDescent="0.2">
      <c r="B427" s="297" t="s">
        <v>4555</v>
      </c>
      <c r="C427" s="298">
        <v>2</v>
      </c>
    </row>
    <row r="428" spans="2:3" ht="15" customHeight="1" x14ac:dyDescent="0.2">
      <c r="B428" s="297" t="s">
        <v>3849</v>
      </c>
      <c r="C428" s="298">
        <v>5</v>
      </c>
    </row>
    <row r="429" spans="2:3" ht="15" customHeight="1" x14ac:dyDescent="0.2">
      <c r="B429" s="297" t="s">
        <v>3850</v>
      </c>
      <c r="C429" s="298">
        <v>2</v>
      </c>
    </row>
    <row r="430" spans="2:3" ht="15" customHeight="1" x14ac:dyDescent="0.2">
      <c r="B430" s="297" t="s">
        <v>3851</v>
      </c>
      <c r="C430" s="298">
        <v>3</v>
      </c>
    </row>
    <row r="431" spans="2:3" ht="15" customHeight="1" x14ac:dyDescent="0.2">
      <c r="B431" s="297" t="s">
        <v>3852</v>
      </c>
      <c r="C431" s="298">
        <v>1</v>
      </c>
    </row>
    <row r="432" spans="2:3" ht="15" customHeight="1" x14ac:dyDescent="0.2">
      <c r="B432" s="297" t="s">
        <v>4556</v>
      </c>
      <c r="C432" s="298">
        <v>3</v>
      </c>
    </row>
    <row r="433" spans="2:3" ht="15" customHeight="1" x14ac:dyDescent="0.2">
      <c r="B433" s="297" t="s">
        <v>3853</v>
      </c>
      <c r="C433" s="298">
        <v>3</v>
      </c>
    </row>
    <row r="434" spans="2:3" ht="15" customHeight="1" x14ac:dyDescent="0.2">
      <c r="B434" s="297" t="s">
        <v>4559</v>
      </c>
      <c r="C434" s="298">
        <v>642</v>
      </c>
    </row>
    <row r="435" spans="2:3" ht="15" customHeight="1" x14ac:dyDescent="0.2">
      <c r="B435" s="297" t="s">
        <v>4557</v>
      </c>
      <c r="C435" s="298">
        <v>300</v>
      </c>
    </row>
    <row r="436" spans="2:3" ht="15" customHeight="1" x14ac:dyDescent="0.2">
      <c r="B436" s="297" t="s">
        <v>4558</v>
      </c>
      <c r="C436" s="298">
        <v>57</v>
      </c>
    </row>
    <row r="437" spans="2:3" ht="15" customHeight="1" x14ac:dyDescent="0.2">
      <c r="B437" s="297" t="s">
        <v>4560</v>
      </c>
      <c r="C437" s="298">
        <v>285</v>
      </c>
    </row>
    <row r="438" spans="2:3" ht="15" customHeight="1" x14ac:dyDescent="0.2">
      <c r="B438" s="297" t="s">
        <v>3854</v>
      </c>
      <c r="C438" s="298">
        <v>12</v>
      </c>
    </row>
    <row r="439" spans="2:3" ht="15" customHeight="1" x14ac:dyDescent="0.2">
      <c r="B439" s="297" t="s">
        <v>3855</v>
      </c>
      <c r="C439" s="298">
        <v>21</v>
      </c>
    </row>
    <row r="440" spans="2:3" ht="15" customHeight="1" x14ac:dyDescent="0.2">
      <c r="B440" s="297" t="s">
        <v>3856</v>
      </c>
      <c r="C440" s="298">
        <v>2</v>
      </c>
    </row>
    <row r="441" spans="2:3" ht="15" customHeight="1" x14ac:dyDescent="0.2">
      <c r="B441" s="297" t="s">
        <v>3857</v>
      </c>
      <c r="C441" s="298">
        <v>1</v>
      </c>
    </row>
    <row r="442" spans="2:3" ht="15" customHeight="1" x14ac:dyDescent="0.2">
      <c r="B442" s="297" t="s">
        <v>3858</v>
      </c>
      <c r="C442" s="298">
        <v>3</v>
      </c>
    </row>
    <row r="443" spans="2:3" ht="15" customHeight="1" x14ac:dyDescent="0.2">
      <c r="B443" s="297" t="s">
        <v>3859</v>
      </c>
      <c r="C443" s="298">
        <v>118</v>
      </c>
    </row>
    <row r="444" spans="2:3" ht="15" customHeight="1" x14ac:dyDescent="0.2">
      <c r="B444" s="297" t="s">
        <v>3860</v>
      </c>
      <c r="C444" s="298">
        <v>2</v>
      </c>
    </row>
    <row r="445" spans="2:3" ht="15" customHeight="1" x14ac:dyDescent="0.2">
      <c r="B445" s="297" t="s">
        <v>3861</v>
      </c>
      <c r="C445" s="298">
        <v>1</v>
      </c>
    </row>
    <row r="446" spans="2:3" ht="15" customHeight="1" x14ac:dyDescent="0.2">
      <c r="B446" s="297" t="s">
        <v>3862</v>
      </c>
      <c r="C446" s="298">
        <v>2</v>
      </c>
    </row>
    <row r="447" spans="2:3" ht="15" customHeight="1" x14ac:dyDescent="0.2">
      <c r="B447" s="297" t="s">
        <v>3863</v>
      </c>
      <c r="C447" s="298">
        <v>1</v>
      </c>
    </row>
    <row r="448" spans="2:3" ht="15" customHeight="1" x14ac:dyDescent="0.2">
      <c r="B448" s="297" t="s">
        <v>4561</v>
      </c>
      <c r="C448" s="298">
        <v>257</v>
      </c>
    </row>
    <row r="449" spans="2:3" ht="15" customHeight="1" x14ac:dyDescent="0.2">
      <c r="B449" s="297" t="s">
        <v>4562</v>
      </c>
      <c r="C449" s="298">
        <v>329</v>
      </c>
    </row>
    <row r="450" spans="2:3" ht="15" customHeight="1" x14ac:dyDescent="0.2">
      <c r="B450" s="297" t="s">
        <v>4563</v>
      </c>
      <c r="C450" s="298">
        <v>381</v>
      </c>
    </row>
    <row r="451" spans="2:3" ht="15" customHeight="1" x14ac:dyDescent="0.2">
      <c r="B451" s="297" t="s">
        <v>3864</v>
      </c>
      <c r="C451" s="298">
        <v>1</v>
      </c>
    </row>
    <row r="452" spans="2:3" ht="15" customHeight="1" x14ac:dyDescent="0.2">
      <c r="B452" s="297" t="s">
        <v>4564</v>
      </c>
      <c r="C452" s="298">
        <v>6</v>
      </c>
    </row>
    <row r="453" spans="2:3" ht="15" customHeight="1" x14ac:dyDescent="0.2">
      <c r="B453" s="297" t="s">
        <v>3865</v>
      </c>
      <c r="C453" s="298">
        <v>1</v>
      </c>
    </row>
    <row r="454" spans="2:3" ht="15" customHeight="1" x14ac:dyDescent="0.2">
      <c r="B454" s="297" t="s">
        <v>4565</v>
      </c>
      <c r="C454" s="298">
        <v>77</v>
      </c>
    </row>
    <row r="455" spans="2:3" ht="15" customHeight="1" x14ac:dyDescent="0.2">
      <c r="B455" s="297" t="s">
        <v>4566</v>
      </c>
      <c r="C455" s="298">
        <v>174</v>
      </c>
    </row>
    <row r="456" spans="2:3" ht="15" customHeight="1" x14ac:dyDescent="0.2">
      <c r="B456" s="297" t="s">
        <v>3866</v>
      </c>
      <c r="C456" s="298">
        <v>1</v>
      </c>
    </row>
    <row r="457" spans="2:3" ht="15" customHeight="1" x14ac:dyDescent="0.2">
      <c r="B457" s="297" t="s">
        <v>3867</v>
      </c>
      <c r="C457" s="298">
        <v>1</v>
      </c>
    </row>
    <row r="458" spans="2:3" ht="15" customHeight="1" x14ac:dyDescent="0.2">
      <c r="B458" s="297" t="s">
        <v>3868</v>
      </c>
      <c r="C458" s="298">
        <v>3</v>
      </c>
    </row>
    <row r="459" spans="2:3" ht="15" customHeight="1" x14ac:dyDescent="0.2">
      <c r="B459" s="297" t="s">
        <v>3869</v>
      </c>
      <c r="C459" s="298">
        <v>51</v>
      </c>
    </row>
    <row r="460" spans="2:3" ht="15" customHeight="1" x14ac:dyDescent="0.2">
      <c r="B460" s="297" t="s">
        <v>4567</v>
      </c>
      <c r="C460" s="298">
        <v>218</v>
      </c>
    </row>
    <row r="461" spans="2:3" ht="15" customHeight="1" x14ac:dyDescent="0.2">
      <c r="B461" s="297" t="s">
        <v>4568</v>
      </c>
      <c r="C461" s="298">
        <v>3</v>
      </c>
    </row>
    <row r="462" spans="2:3" ht="15" customHeight="1" x14ac:dyDescent="0.2">
      <c r="B462" s="297" t="s">
        <v>3870</v>
      </c>
      <c r="C462" s="298">
        <v>8</v>
      </c>
    </row>
    <row r="463" spans="2:3" ht="15" customHeight="1" x14ac:dyDescent="0.2">
      <c r="B463" s="297" t="s">
        <v>3871</v>
      </c>
      <c r="C463" s="298">
        <v>12</v>
      </c>
    </row>
    <row r="464" spans="2:3" ht="15" customHeight="1" x14ac:dyDescent="0.2">
      <c r="B464" s="297" t="s">
        <v>4569</v>
      </c>
      <c r="C464" s="298">
        <v>48</v>
      </c>
    </row>
    <row r="465" spans="2:3" ht="15" customHeight="1" x14ac:dyDescent="0.2">
      <c r="B465" s="297" t="s">
        <v>3872</v>
      </c>
      <c r="C465" s="298">
        <v>3</v>
      </c>
    </row>
    <row r="466" spans="2:3" ht="15" customHeight="1" x14ac:dyDescent="0.2">
      <c r="B466" s="297" t="s">
        <v>3873</v>
      </c>
      <c r="C466" s="298">
        <v>11</v>
      </c>
    </row>
    <row r="467" spans="2:3" ht="15" customHeight="1" x14ac:dyDescent="0.2">
      <c r="B467" s="297" t="s">
        <v>3874</v>
      </c>
      <c r="C467" s="298">
        <v>7</v>
      </c>
    </row>
    <row r="468" spans="2:3" ht="15" customHeight="1" x14ac:dyDescent="0.2">
      <c r="B468" s="297" t="s">
        <v>4570</v>
      </c>
      <c r="C468" s="298">
        <v>186</v>
      </c>
    </row>
    <row r="469" spans="2:3" ht="15" customHeight="1" x14ac:dyDescent="0.2">
      <c r="B469" s="297" t="s">
        <v>3875</v>
      </c>
      <c r="C469" s="298">
        <v>2</v>
      </c>
    </row>
    <row r="470" spans="2:3" ht="15" customHeight="1" x14ac:dyDescent="0.2">
      <c r="B470" s="297" t="s">
        <v>3876</v>
      </c>
      <c r="C470" s="298">
        <v>1</v>
      </c>
    </row>
    <row r="471" spans="2:3" ht="15" customHeight="1" x14ac:dyDescent="0.2">
      <c r="B471" s="297" t="s">
        <v>3877</v>
      </c>
      <c r="C471" s="298">
        <v>8</v>
      </c>
    </row>
    <row r="472" spans="2:3" ht="15" customHeight="1" x14ac:dyDescent="0.2">
      <c r="B472" s="297" t="s">
        <v>4572</v>
      </c>
      <c r="C472" s="298">
        <v>107</v>
      </c>
    </row>
    <row r="473" spans="2:3" ht="15" customHeight="1" x14ac:dyDescent="0.2">
      <c r="B473" s="297" t="s">
        <v>4571</v>
      </c>
      <c r="C473" s="298">
        <v>1</v>
      </c>
    </row>
    <row r="474" spans="2:3" ht="15" customHeight="1" x14ac:dyDescent="0.2">
      <c r="B474" s="297" t="s">
        <v>3878</v>
      </c>
      <c r="C474" s="298">
        <v>3</v>
      </c>
    </row>
    <row r="475" spans="2:3" ht="15" customHeight="1" x14ac:dyDescent="0.2">
      <c r="B475" s="297" t="s">
        <v>3879</v>
      </c>
      <c r="C475" s="298">
        <v>20</v>
      </c>
    </row>
    <row r="476" spans="2:3" ht="15" customHeight="1" x14ac:dyDescent="0.2">
      <c r="B476" s="297" t="s">
        <v>4574</v>
      </c>
      <c r="C476" s="298">
        <v>169</v>
      </c>
    </row>
    <row r="477" spans="2:3" ht="15" customHeight="1" x14ac:dyDescent="0.2">
      <c r="B477" s="297" t="s">
        <v>4573</v>
      </c>
      <c r="C477" s="298">
        <v>281</v>
      </c>
    </row>
    <row r="478" spans="2:3" ht="15" customHeight="1" x14ac:dyDescent="0.2">
      <c r="B478" s="297" t="s">
        <v>3880</v>
      </c>
      <c r="C478" s="298">
        <v>25</v>
      </c>
    </row>
    <row r="479" spans="2:3" ht="15" customHeight="1" x14ac:dyDescent="0.2">
      <c r="B479" s="297" t="s">
        <v>3881</v>
      </c>
      <c r="C479" s="298">
        <v>1</v>
      </c>
    </row>
    <row r="480" spans="2:3" ht="15" customHeight="1" x14ac:dyDescent="0.2">
      <c r="B480" s="297" t="s">
        <v>4576</v>
      </c>
      <c r="C480" s="298">
        <v>558</v>
      </c>
    </row>
    <row r="481" spans="2:3" ht="15" customHeight="1" x14ac:dyDescent="0.2">
      <c r="B481" s="297" t="s">
        <v>4575</v>
      </c>
      <c r="C481" s="298">
        <v>95</v>
      </c>
    </row>
    <row r="482" spans="2:3" ht="15" customHeight="1" x14ac:dyDescent="0.2">
      <c r="B482" s="297" t="s">
        <v>3882</v>
      </c>
      <c r="C482" s="298">
        <v>1</v>
      </c>
    </row>
    <row r="483" spans="2:3" ht="15" customHeight="1" x14ac:dyDescent="0.2">
      <c r="B483" s="297" t="s">
        <v>3883</v>
      </c>
      <c r="C483" s="298">
        <v>28</v>
      </c>
    </row>
    <row r="484" spans="2:3" ht="15" customHeight="1" x14ac:dyDescent="0.2">
      <c r="B484" s="297" t="s">
        <v>4578</v>
      </c>
      <c r="C484" s="298">
        <v>446</v>
      </c>
    </row>
    <row r="485" spans="2:3" ht="15" customHeight="1" x14ac:dyDescent="0.2">
      <c r="B485" s="297" t="s">
        <v>4577</v>
      </c>
      <c r="C485" s="298">
        <v>669</v>
      </c>
    </row>
    <row r="486" spans="2:3" ht="15" customHeight="1" x14ac:dyDescent="0.2">
      <c r="B486" s="297" t="s">
        <v>3884</v>
      </c>
      <c r="C486" s="298">
        <v>12</v>
      </c>
    </row>
    <row r="487" spans="2:3" ht="15" customHeight="1" x14ac:dyDescent="0.2">
      <c r="B487" s="297" t="s">
        <v>3885</v>
      </c>
      <c r="C487" s="298">
        <v>4</v>
      </c>
    </row>
    <row r="488" spans="2:3" ht="15" customHeight="1" x14ac:dyDescent="0.2">
      <c r="B488" s="297" t="s">
        <v>3886</v>
      </c>
      <c r="C488" s="298">
        <v>6</v>
      </c>
    </row>
    <row r="489" spans="2:3" ht="15" customHeight="1" x14ac:dyDescent="0.2">
      <c r="B489" s="297" t="s">
        <v>3887</v>
      </c>
      <c r="C489" s="298">
        <v>2</v>
      </c>
    </row>
    <row r="490" spans="2:3" ht="15" customHeight="1" x14ac:dyDescent="0.2">
      <c r="B490" s="297" t="s">
        <v>3888</v>
      </c>
      <c r="C490" s="298">
        <v>1</v>
      </c>
    </row>
    <row r="491" spans="2:3" ht="15" customHeight="1" x14ac:dyDescent="0.2">
      <c r="B491" s="297" t="s">
        <v>3889</v>
      </c>
      <c r="C491" s="298">
        <v>1</v>
      </c>
    </row>
    <row r="492" spans="2:3" ht="15" customHeight="1" x14ac:dyDescent="0.2">
      <c r="B492" s="297" t="s">
        <v>3890</v>
      </c>
      <c r="C492" s="298">
        <v>2</v>
      </c>
    </row>
    <row r="493" spans="2:3" ht="15" customHeight="1" x14ac:dyDescent="0.2">
      <c r="B493" s="297" t="s">
        <v>3891</v>
      </c>
      <c r="C493" s="298">
        <v>1</v>
      </c>
    </row>
    <row r="494" spans="2:3" ht="15" customHeight="1" x14ac:dyDescent="0.2">
      <c r="B494" s="297" t="s">
        <v>3892</v>
      </c>
      <c r="C494" s="298">
        <v>41</v>
      </c>
    </row>
    <row r="495" spans="2:3" ht="15" customHeight="1" x14ac:dyDescent="0.2">
      <c r="B495" s="297" t="s">
        <v>3893</v>
      </c>
      <c r="C495" s="298">
        <v>-1</v>
      </c>
    </row>
    <row r="496" spans="2:3" ht="15" customHeight="1" x14ac:dyDescent="0.2">
      <c r="B496" s="297" t="s">
        <v>3894</v>
      </c>
      <c r="C496" s="298">
        <v>2</v>
      </c>
    </row>
    <row r="497" spans="2:3" ht="15" customHeight="1" x14ac:dyDescent="0.2">
      <c r="B497" s="297" t="s">
        <v>3895</v>
      </c>
      <c r="C497" s="298">
        <v>1</v>
      </c>
    </row>
    <row r="498" spans="2:3" ht="15" customHeight="1" x14ac:dyDescent="0.2">
      <c r="B498" s="297" t="s">
        <v>3896</v>
      </c>
      <c r="C498" s="298">
        <v>1</v>
      </c>
    </row>
    <row r="499" spans="2:3" ht="15" customHeight="1" x14ac:dyDescent="0.2">
      <c r="B499" s="297" t="s">
        <v>3897</v>
      </c>
      <c r="C499" s="298">
        <v>2</v>
      </c>
    </row>
    <row r="500" spans="2:3" ht="15" customHeight="1" x14ac:dyDescent="0.2">
      <c r="B500" s="297" t="s">
        <v>3898</v>
      </c>
      <c r="C500" s="298">
        <v>11</v>
      </c>
    </row>
    <row r="501" spans="2:3" ht="15" customHeight="1" x14ac:dyDescent="0.2">
      <c r="B501" s="297" t="s">
        <v>3899</v>
      </c>
      <c r="C501" s="298">
        <v>10</v>
      </c>
    </row>
    <row r="502" spans="2:3" ht="15" customHeight="1" x14ac:dyDescent="0.2">
      <c r="B502" s="297" t="s">
        <v>3900</v>
      </c>
      <c r="C502" s="298">
        <v>1</v>
      </c>
    </row>
    <row r="503" spans="2:3" ht="15" customHeight="1" x14ac:dyDescent="0.2">
      <c r="B503" s="297" t="s">
        <v>3901</v>
      </c>
      <c r="C503" s="298">
        <v>1</v>
      </c>
    </row>
    <row r="504" spans="2:3" ht="15" customHeight="1" x14ac:dyDescent="0.2">
      <c r="B504" s="297" t="s">
        <v>3902</v>
      </c>
      <c r="C504" s="298">
        <v>1</v>
      </c>
    </row>
    <row r="505" spans="2:3" ht="15" customHeight="1" x14ac:dyDescent="0.2">
      <c r="B505" s="297" t="s">
        <v>4580</v>
      </c>
      <c r="C505" s="298">
        <v>194</v>
      </c>
    </row>
    <row r="506" spans="2:3" ht="15" customHeight="1" x14ac:dyDescent="0.2">
      <c r="B506" s="297" t="s">
        <v>4579</v>
      </c>
      <c r="C506" s="298">
        <v>104</v>
      </c>
    </row>
    <row r="507" spans="2:3" ht="15" customHeight="1" x14ac:dyDescent="0.2">
      <c r="B507" s="297" t="s">
        <v>4581</v>
      </c>
      <c r="C507" s="298">
        <v>233</v>
      </c>
    </row>
    <row r="508" spans="2:3" ht="15" customHeight="1" x14ac:dyDescent="0.2">
      <c r="B508" s="297" t="s">
        <v>3903</v>
      </c>
      <c r="C508" s="298">
        <v>1</v>
      </c>
    </row>
    <row r="509" spans="2:3" ht="15" customHeight="1" x14ac:dyDescent="0.2">
      <c r="B509" s="297" t="s">
        <v>3904</v>
      </c>
      <c r="C509" s="298">
        <v>1</v>
      </c>
    </row>
    <row r="510" spans="2:3" ht="15" customHeight="1" x14ac:dyDescent="0.2">
      <c r="B510" s="297" t="s">
        <v>3905</v>
      </c>
      <c r="C510" s="298">
        <v>5</v>
      </c>
    </row>
    <row r="511" spans="2:3" ht="15" customHeight="1" x14ac:dyDescent="0.2">
      <c r="B511" s="297" t="s">
        <v>3906</v>
      </c>
      <c r="C511" s="298">
        <v>2</v>
      </c>
    </row>
    <row r="512" spans="2:3" ht="15" customHeight="1" x14ac:dyDescent="0.2">
      <c r="B512" s="297" t="s">
        <v>3907</v>
      </c>
      <c r="C512" s="298">
        <v>1</v>
      </c>
    </row>
    <row r="513" spans="2:3" ht="15" customHeight="1" x14ac:dyDescent="0.2">
      <c r="B513" s="297" t="s">
        <v>3908</v>
      </c>
      <c r="C513" s="298">
        <v>13</v>
      </c>
    </row>
    <row r="514" spans="2:3" ht="15" customHeight="1" x14ac:dyDescent="0.2">
      <c r="B514" s="297" t="s">
        <v>3909</v>
      </c>
      <c r="C514" s="298">
        <v>121</v>
      </c>
    </row>
    <row r="515" spans="2:3" ht="15" customHeight="1" x14ac:dyDescent="0.2">
      <c r="B515" s="297" t="s">
        <v>4583</v>
      </c>
      <c r="C515" s="298">
        <v>232</v>
      </c>
    </row>
    <row r="516" spans="2:3" ht="15" customHeight="1" x14ac:dyDescent="0.2">
      <c r="B516" s="297" t="s">
        <v>4582</v>
      </c>
      <c r="C516" s="298">
        <v>194</v>
      </c>
    </row>
    <row r="517" spans="2:3" ht="15" customHeight="1" x14ac:dyDescent="0.2">
      <c r="B517" s="297" t="s">
        <v>4584</v>
      </c>
      <c r="C517" s="298">
        <v>10</v>
      </c>
    </row>
    <row r="518" spans="2:3" ht="15" customHeight="1" x14ac:dyDescent="0.2">
      <c r="B518" s="297" t="s">
        <v>3910</v>
      </c>
      <c r="C518" s="298">
        <v>8</v>
      </c>
    </row>
    <row r="519" spans="2:3" ht="15" customHeight="1" x14ac:dyDescent="0.2">
      <c r="B519" s="297" t="s">
        <v>4585</v>
      </c>
      <c r="C519" s="298">
        <v>56</v>
      </c>
    </row>
    <row r="520" spans="2:3" ht="15" customHeight="1" x14ac:dyDescent="0.2">
      <c r="B520" s="297" t="s">
        <v>3911</v>
      </c>
      <c r="C520" s="298">
        <v>7</v>
      </c>
    </row>
    <row r="521" spans="2:3" ht="15" customHeight="1" x14ac:dyDescent="0.2">
      <c r="B521" s="297" t="s">
        <v>3912</v>
      </c>
      <c r="C521" s="298">
        <v>1</v>
      </c>
    </row>
    <row r="522" spans="2:3" ht="15" customHeight="1" x14ac:dyDescent="0.2">
      <c r="B522" s="297" t="s">
        <v>4587</v>
      </c>
      <c r="C522" s="298">
        <v>70</v>
      </c>
    </row>
    <row r="523" spans="2:3" ht="15" customHeight="1" x14ac:dyDescent="0.2">
      <c r="B523" s="297" t="s">
        <v>4586</v>
      </c>
      <c r="C523" s="298">
        <v>40</v>
      </c>
    </row>
    <row r="524" spans="2:3" ht="15" customHeight="1" x14ac:dyDescent="0.2">
      <c r="B524" s="297" t="s">
        <v>3913</v>
      </c>
      <c r="C524" s="298">
        <v>5</v>
      </c>
    </row>
    <row r="525" spans="2:3" ht="15" customHeight="1" x14ac:dyDescent="0.2">
      <c r="B525" s="297" t="s">
        <v>3914</v>
      </c>
      <c r="C525" s="298">
        <v>1</v>
      </c>
    </row>
    <row r="526" spans="2:3" ht="15" customHeight="1" x14ac:dyDescent="0.2">
      <c r="B526" s="297" t="s">
        <v>3915</v>
      </c>
      <c r="C526" s="298">
        <v>39</v>
      </c>
    </row>
    <row r="527" spans="2:3" ht="15" customHeight="1" x14ac:dyDescent="0.2">
      <c r="B527" s="297" t="s">
        <v>3916</v>
      </c>
      <c r="C527" s="298">
        <v>42</v>
      </c>
    </row>
    <row r="528" spans="2:3" ht="15" customHeight="1" x14ac:dyDescent="0.2">
      <c r="B528" s="297" t="s">
        <v>3917</v>
      </c>
      <c r="C528" s="298">
        <v>2</v>
      </c>
    </row>
    <row r="529" spans="2:3" ht="15" customHeight="1" x14ac:dyDescent="0.2">
      <c r="B529" s="297" t="s">
        <v>3918</v>
      </c>
      <c r="C529" s="298">
        <v>2</v>
      </c>
    </row>
    <row r="530" spans="2:3" ht="15" customHeight="1" x14ac:dyDescent="0.2">
      <c r="B530" s="297" t="s">
        <v>3919</v>
      </c>
      <c r="C530" s="298">
        <v>6</v>
      </c>
    </row>
    <row r="531" spans="2:3" ht="15" customHeight="1" x14ac:dyDescent="0.2">
      <c r="B531" s="297" t="s">
        <v>3920</v>
      </c>
      <c r="C531" s="298">
        <v>43</v>
      </c>
    </row>
    <row r="532" spans="2:3" ht="15" customHeight="1" x14ac:dyDescent="0.2">
      <c r="B532" s="297" t="s">
        <v>3921</v>
      </c>
      <c r="C532" s="298">
        <v>1</v>
      </c>
    </row>
    <row r="533" spans="2:3" ht="15" customHeight="1" x14ac:dyDescent="0.2">
      <c r="B533" s="297" t="s">
        <v>4588</v>
      </c>
      <c r="C533" s="298">
        <v>33</v>
      </c>
    </row>
    <row r="534" spans="2:3" ht="15" customHeight="1" x14ac:dyDescent="0.2">
      <c r="B534" s="297" t="s">
        <v>4589</v>
      </c>
      <c r="C534" s="298">
        <v>111</v>
      </c>
    </row>
    <row r="535" spans="2:3" ht="15" customHeight="1" x14ac:dyDescent="0.2">
      <c r="B535" s="297" t="s">
        <v>4590</v>
      </c>
      <c r="C535" s="298">
        <v>3</v>
      </c>
    </row>
    <row r="536" spans="2:3" ht="15" customHeight="1" x14ac:dyDescent="0.2">
      <c r="B536" s="297" t="s">
        <v>3922</v>
      </c>
      <c r="C536" s="298">
        <v>1</v>
      </c>
    </row>
    <row r="537" spans="2:3" ht="15" customHeight="1" x14ac:dyDescent="0.2">
      <c r="B537" s="297" t="s">
        <v>3923</v>
      </c>
      <c r="C537" s="298">
        <v>1</v>
      </c>
    </row>
    <row r="538" spans="2:3" ht="15" customHeight="1" x14ac:dyDescent="0.2">
      <c r="B538" s="297" t="s">
        <v>3924</v>
      </c>
      <c r="C538" s="298">
        <v>6</v>
      </c>
    </row>
    <row r="539" spans="2:3" ht="15" customHeight="1" x14ac:dyDescent="0.2">
      <c r="B539" s="297" t="s">
        <v>3925</v>
      </c>
      <c r="C539" s="298">
        <v>23</v>
      </c>
    </row>
    <row r="540" spans="2:3" ht="15" customHeight="1" x14ac:dyDescent="0.2">
      <c r="B540" s="297" t="s">
        <v>3926</v>
      </c>
      <c r="C540" s="298">
        <v>1</v>
      </c>
    </row>
    <row r="541" spans="2:3" ht="15" customHeight="1" x14ac:dyDescent="0.2">
      <c r="B541" s="297" t="s">
        <v>3927</v>
      </c>
      <c r="C541" s="298">
        <v>1</v>
      </c>
    </row>
    <row r="542" spans="2:3" ht="15" customHeight="1" x14ac:dyDescent="0.2">
      <c r="B542" s="297" t="s">
        <v>3928</v>
      </c>
      <c r="C542" s="298">
        <v>19</v>
      </c>
    </row>
    <row r="543" spans="2:3" ht="15" customHeight="1" x14ac:dyDescent="0.2">
      <c r="B543" s="297" t="s">
        <v>3929</v>
      </c>
      <c r="C543" s="298">
        <v>5</v>
      </c>
    </row>
    <row r="544" spans="2:3" ht="15" customHeight="1" x14ac:dyDescent="0.2">
      <c r="B544" s="297" t="s">
        <v>4591</v>
      </c>
      <c r="C544" s="298">
        <v>47</v>
      </c>
    </row>
    <row r="545" spans="2:3" ht="15" customHeight="1" x14ac:dyDescent="0.2">
      <c r="B545" s="297" t="s">
        <v>4594</v>
      </c>
      <c r="C545" s="298">
        <v>134</v>
      </c>
    </row>
    <row r="546" spans="2:3" ht="15" customHeight="1" x14ac:dyDescent="0.2">
      <c r="B546" s="297" t="s">
        <v>4592</v>
      </c>
      <c r="C546" s="298">
        <v>1</v>
      </c>
    </row>
    <row r="547" spans="2:3" ht="15" customHeight="1" x14ac:dyDescent="0.2">
      <c r="B547" s="297" t="s">
        <v>4593</v>
      </c>
      <c r="C547" s="298">
        <v>31</v>
      </c>
    </row>
    <row r="548" spans="2:3" ht="15" customHeight="1" x14ac:dyDescent="0.2">
      <c r="B548" s="297" t="s">
        <v>3930</v>
      </c>
      <c r="C548" s="298">
        <v>1</v>
      </c>
    </row>
    <row r="549" spans="2:3" ht="15" customHeight="1" x14ac:dyDescent="0.2">
      <c r="B549" s="297" t="s">
        <v>3931</v>
      </c>
      <c r="C549" s="298">
        <v>8</v>
      </c>
    </row>
    <row r="550" spans="2:3" ht="15" customHeight="1" x14ac:dyDescent="0.2">
      <c r="B550" s="297" t="s">
        <v>3932</v>
      </c>
      <c r="C550" s="298">
        <v>5</v>
      </c>
    </row>
    <row r="551" spans="2:3" ht="15" customHeight="1" x14ac:dyDescent="0.2">
      <c r="B551" s="297" t="s">
        <v>3933</v>
      </c>
      <c r="C551" s="298">
        <v>2</v>
      </c>
    </row>
    <row r="552" spans="2:3" ht="15" customHeight="1" x14ac:dyDescent="0.2">
      <c r="B552" s="297" t="s">
        <v>3934</v>
      </c>
      <c r="C552" s="298">
        <v>52</v>
      </c>
    </row>
    <row r="553" spans="2:3" ht="15" customHeight="1" x14ac:dyDescent="0.2">
      <c r="B553" s="297" t="s">
        <v>4597</v>
      </c>
      <c r="C553" s="298">
        <v>51</v>
      </c>
    </row>
    <row r="554" spans="2:3" ht="15" customHeight="1" x14ac:dyDescent="0.2">
      <c r="B554" s="297" t="s">
        <v>4595</v>
      </c>
      <c r="C554" s="298">
        <v>166</v>
      </c>
    </row>
    <row r="555" spans="2:3" ht="15" customHeight="1" x14ac:dyDescent="0.2">
      <c r="B555" s="297" t="s">
        <v>4596</v>
      </c>
      <c r="C555" s="298">
        <v>18</v>
      </c>
    </row>
    <row r="556" spans="2:3" ht="15" customHeight="1" x14ac:dyDescent="0.2">
      <c r="B556" s="297" t="s">
        <v>3935</v>
      </c>
      <c r="C556" s="298">
        <v>10</v>
      </c>
    </row>
    <row r="557" spans="2:3" ht="15" customHeight="1" x14ac:dyDescent="0.2">
      <c r="B557" s="297" t="s">
        <v>3936</v>
      </c>
      <c r="C557" s="298">
        <v>8</v>
      </c>
    </row>
    <row r="558" spans="2:3" ht="15" customHeight="1" x14ac:dyDescent="0.2">
      <c r="B558" s="297" t="s">
        <v>4599</v>
      </c>
      <c r="C558" s="298">
        <v>63</v>
      </c>
    </row>
    <row r="559" spans="2:3" ht="15" customHeight="1" x14ac:dyDescent="0.2">
      <c r="B559" s="297" t="s">
        <v>4598</v>
      </c>
      <c r="C559" s="298">
        <v>67</v>
      </c>
    </row>
    <row r="560" spans="2:3" ht="15" customHeight="1" x14ac:dyDescent="0.2">
      <c r="B560" s="297" t="s">
        <v>3937</v>
      </c>
      <c r="C560" s="298">
        <v>22</v>
      </c>
    </row>
    <row r="561" spans="2:3" ht="15" customHeight="1" x14ac:dyDescent="0.2">
      <c r="B561" s="297" t="s">
        <v>4600</v>
      </c>
      <c r="C561" s="298">
        <v>118</v>
      </c>
    </row>
    <row r="562" spans="2:3" ht="15" customHeight="1" x14ac:dyDescent="0.2">
      <c r="B562" s="297" t="s">
        <v>3938</v>
      </c>
      <c r="C562" s="298">
        <v>1</v>
      </c>
    </row>
    <row r="563" spans="2:3" ht="15" customHeight="1" x14ac:dyDescent="0.2">
      <c r="B563" s="297" t="s">
        <v>4601</v>
      </c>
      <c r="C563" s="298">
        <v>29</v>
      </c>
    </row>
    <row r="564" spans="2:3" ht="15" customHeight="1" x14ac:dyDescent="0.2">
      <c r="B564" s="297" t="s">
        <v>4602</v>
      </c>
      <c r="C564" s="298">
        <v>7</v>
      </c>
    </row>
    <row r="565" spans="2:3" ht="15" customHeight="1" x14ac:dyDescent="0.2">
      <c r="B565" s="297" t="s">
        <v>3939</v>
      </c>
      <c r="C565" s="298">
        <v>1</v>
      </c>
    </row>
    <row r="566" spans="2:3" ht="15" customHeight="1" x14ac:dyDescent="0.2">
      <c r="B566" s="297" t="s">
        <v>4603</v>
      </c>
      <c r="C566" s="298">
        <v>19</v>
      </c>
    </row>
    <row r="567" spans="2:3" ht="15" customHeight="1" x14ac:dyDescent="0.2">
      <c r="B567" s="297" t="s">
        <v>4604</v>
      </c>
      <c r="C567" s="298">
        <v>16</v>
      </c>
    </row>
    <row r="568" spans="2:3" ht="15" customHeight="1" x14ac:dyDescent="0.2">
      <c r="B568" s="297" t="s">
        <v>3940</v>
      </c>
      <c r="C568" s="298">
        <v>2</v>
      </c>
    </row>
    <row r="569" spans="2:3" ht="15" customHeight="1" x14ac:dyDescent="0.2">
      <c r="B569" s="297" t="s">
        <v>3941</v>
      </c>
      <c r="C569" s="298">
        <v>1</v>
      </c>
    </row>
    <row r="570" spans="2:3" ht="15" customHeight="1" x14ac:dyDescent="0.2">
      <c r="B570" s="297" t="s">
        <v>3942</v>
      </c>
      <c r="C570" s="298">
        <v>1</v>
      </c>
    </row>
    <row r="571" spans="2:3" ht="15" customHeight="1" x14ac:dyDescent="0.2">
      <c r="B571" s="297" t="s">
        <v>4606</v>
      </c>
      <c r="C571" s="298">
        <v>124</v>
      </c>
    </row>
    <row r="572" spans="2:3" ht="15" customHeight="1" x14ac:dyDescent="0.2">
      <c r="B572" s="297" t="s">
        <v>4605</v>
      </c>
      <c r="C572" s="298">
        <v>157</v>
      </c>
    </row>
    <row r="573" spans="2:3" ht="15" customHeight="1" x14ac:dyDescent="0.2">
      <c r="B573" s="297" t="s">
        <v>3943</v>
      </c>
      <c r="C573" s="298">
        <v>1</v>
      </c>
    </row>
    <row r="574" spans="2:3" ht="15" customHeight="1" x14ac:dyDescent="0.2">
      <c r="B574" s="297" t="s">
        <v>3944</v>
      </c>
      <c r="C574" s="298">
        <v>10</v>
      </c>
    </row>
    <row r="575" spans="2:3" ht="15" customHeight="1" x14ac:dyDescent="0.2">
      <c r="B575" s="297" t="s">
        <v>4607</v>
      </c>
      <c r="C575" s="298">
        <v>48</v>
      </c>
    </row>
    <row r="576" spans="2:3" ht="15" customHeight="1" x14ac:dyDescent="0.2">
      <c r="B576" s="297" t="s">
        <v>3945</v>
      </c>
      <c r="C576" s="298">
        <v>1</v>
      </c>
    </row>
    <row r="577" spans="2:3" ht="15" customHeight="1" x14ac:dyDescent="0.2">
      <c r="B577" s="297" t="s">
        <v>3946</v>
      </c>
      <c r="C577" s="298">
        <v>1</v>
      </c>
    </row>
    <row r="578" spans="2:3" ht="15" customHeight="1" x14ac:dyDescent="0.2">
      <c r="B578" s="297" t="s">
        <v>3947</v>
      </c>
      <c r="C578" s="298">
        <v>3</v>
      </c>
    </row>
    <row r="579" spans="2:3" ht="15" customHeight="1" x14ac:dyDescent="0.2">
      <c r="B579" s="297" t="s">
        <v>3948</v>
      </c>
      <c r="C579" s="298">
        <v>1</v>
      </c>
    </row>
    <row r="580" spans="2:3" ht="15" customHeight="1" x14ac:dyDescent="0.2">
      <c r="B580" s="297" t="s">
        <v>3949</v>
      </c>
      <c r="C580" s="298">
        <v>1</v>
      </c>
    </row>
    <row r="581" spans="2:3" ht="15" customHeight="1" x14ac:dyDescent="0.2">
      <c r="B581" s="297" t="s">
        <v>3950</v>
      </c>
      <c r="C581" s="298">
        <v>1</v>
      </c>
    </row>
    <row r="582" spans="2:3" ht="15" customHeight="1" x14ac:dyDescent="0.2">
      <c r="B582" s="297" t="s">
        <v>3951</v>
      </c>
      <c r="C582" s="298">
        <v>1</v>
      </c>
    </row>
    <row r="583" spans="2:3" ht="15" customHeight="1" x14ac:dyDescent="0.2">
      <c r="B583" s="297" t="s">
        <v>3952</v>
      </c>
      <c r="C583" s="298">
        <v>1</v>
      </c>
    </row>
    <row r="584" spans="2:3" ht="15" customHeight="1" x14ac:dyDescent="0.2">
      <c r="B584" s="297" t="s">
        <v>3953</v>
      </c>
      <c r="C584" s="298">
        <v>1</v>
      </c>
    </row>
    <row r="585" spans="2:3" ht="15" customHeight="1" x14ac:dyDescent="0.2">
      <c r="B585" s="297" t="s">
        <v>3954</v>
      </c>
      <c r="C585" s="298">
        <v>1</v>
      </c>
    </row>
    <row r="586" spans="2:3" ht="15" customHeight="1" x14ac:dyDescent="0.2">
      <c r="B586" s="297" t="s">
        <v>4609</v>
      </c>
      <c r="C586" s="298">
        <v>68</v>
      </c>
    </row>
    <row r="587" spans="2:3" ht="15" customHeight="1" x14ac:dyDescent="0.2">
      <c r="B587" s="297" t="s">
        <v>4608</v>
      </c>
      <c r="C587" s="298">
        <v>69</v>
      </c>
    </row>
    <row r="588" spans="2:3" ht="15" customHeight="1" x14ac:dyDescent="0.2">
      <c r="B588" s="297" t="s">
        <v>4610</v>
      </c>
      <c r="C588" s="298">
        <v>25</v>
      </c>
    </row>
    <row r="589" spans="2:3" ht="15" customHeight="1" x14ac:dyDescent="0.2">
      <c r="B589" s="297" t="s">
        <v>3955</v>
      </c>
      <c r="C589" s="298">
        <v>2</v>
      </c>
    </row>
    <row r="590" spans="2:3" ht="15" customHeight="1" x14ac:dyDescent="0.2">
      <c r="B590" s="297" t="s">
        <v>3956</v>
      </c>
      <c r="C590" s="298">
        <v>15</v>
      </c>
    </row>
    <row r="591" spans="2:3" ht="15" customHeight="1" x14ac:dyDescent="0.2">
      <c r="B591" s="297" t="s">
        <v>4611</v>
      </c>
      <c r="C591" s="298">
        <v>50</v>
      </c>
    </row>
    <row r="592" spans="2:3" ht="15" customHeight="1" x14ac:dyDescent="0.2">
      <c r="B592" s="297" t="s">
        <v>4613</v>
      </c>
      <c r="C592" s="298">
        <v>214</v>
      </c>
    </row>
    <row r="593" spans="2:3" ht="15" customHeight="1" x14ac:dyDescent="0.2">
      <c r="B593" s="297" t="s">
        <v>4612</v>
      </c>
      <c r="C593" s="298">
        <v>150</v>
      </c>
    </row>
    <row r="594" spans="2:3" ht="15" customHeight="1" x14ac:dyDescent="0.2">
      <c r="B594" s="297" t="s">
        <v>3957</v>
      </c>
      <c r="C594" s="298">
        <v>2</v>
      </c>
    </row>
    <row r="595" spans="2:3" ht="15" customHeight="1" x14ac:dyDescent="0.2">
      <c r="B595" s="297" t="s">
        <v>3958</v>
      </c>
      <c r="C595" s="298">
        <v>10</v>
      </c>
    </row>
    <row r="596" spans="2:3" ht="15" customHeight="1" x14ac:dyDescent="0.2">
      <c r="B596" s="297" t="s">
        <v>3959</v>
      </c>
      <c r="C596" s="298">
        <v>1</v>
      </c>
    </row>
    <row r="597" spans="2:3" ht="15" customHeight="1" x14ac:dyDescent="0.2">
      <c r="B597" s="297" t="s">
        <v>4615</v>
      </c>
      <c r="C597" s="298">
        <v>63</v>
      </c>
    </row>
    <row r="598" spans="2:3" ht="15" customHeight="1" x14ac:dyDescent="0.2">
      <c r="B598" s="297" t="s">
        <v>4614</v>
      </c>
      <c r="C598" s="298">
        <v>14</v>
      </c>
    </row>
    <row r="599" spans="2:3" ht="15" customHeight="1" x14ac:dyDescent="0.2">
      <c r="B599" s="297" t="s">
        <v>4617</v>
      </c>
      <c r="C599" s="298">
        <v>22</v>
      </c>
    </row>
    <row r="600" spans="2:3" ht="15" customHeight="1" x14ac:dyDescent="0.2">
      <c r="B600" s="297" t="s">
        <v>4616</v>
      </c>
      <c r="C600" s="298">
        <v>10</v>
      </c>
    </row>
    <row r="601" spans="2:3" ht="15" customHeight="1" x14ac:dyDescent="0.2">
      <c r="B601" s="297" t="s">
        <v>3960</v>
      </c>
      <c r="C601" s="298">
        <v>1</v>
      </c>
    </row>
    <row r="602" spans="2:3" ht="15" customHeight="1" x14ac:dyDescent="0.2">
      <c r="B602" s="297" t="s">
        <v>3961</v>
      </c>
      <c r="C602" s="298">
        <v>6</v>
      </c>
    </row>
    <row r="603" spans="2:3" ht="15" customHeight="1" x14ac:dyDescent="0.2">
      <c r="B603" s="297" t="s">
        <v>3962</v>
      </c>
      <c r="C603" s="298">
        <v>1</v>
      </c>
    </row>
    <row r="604" spans="2:3" ht="15" customHeight="1" x14ac:dyDescent="0.2">
      <c r="B604" s="297" t="s">
        <v>3963</v>
      </c>
      <c r="C604" s="298">
        <v>1</v>
      </c>
    </row>
    <row r="605" spans="2:3" ht="15" customHeight="1" x14ac:dyDescent="0.2">
      <c r="B605" s="297" t="s">
        <v>3964</v>
      </c>
      <c r="C605" s="298">
        <v>1</v>
      </c>
    </row>
    <row r="606" spans="2:3" ht="15" customHeight="1" x14ac:dyDescent="0.2">
      <c r="B606" s="297" t="s">
        <v>4618</v>
      </c>
      <c r="C606" s="298">
        <v>20</v>
      </c>
    </row>
    <row r="607" spans="2:3" ht="15" customHeight="1" x14ac:dyDescent="0.2">
      <c r="B607" s="297" t="s">
        <v>4620</v>
      </c>
      <c r="C607" s="298">
        <v>218</v>
      </c>
    </row>
    <row r="608" spans="2:3" ht="15" customHeight="1" x14ac:dyDescent="0.2">
      <c r="B608" s="297" t="s">
        <v>4619</v>
      </c>
      <c r="C608" s="298">
        <v>81</v>
      </c>
    </row>
    <row r="609" spans="2:3" ht="15" customHeight="1" x14ac:dyDescent="0.2">
      <c r="B609" s="297" t="s">
        <v>4621</v>
      </c>
      <c r="C609" s="298">
        <v>68</v>
      </c>
    </row>
    <row r="610" spans="2:3" ht="15" customHeight="1" x14ac:dyDescent="0.2">
      <c r="B610" s="297" t="s">
        <v>4622</v>
      </c>
      <c r="C610" s="298">
        <v>5</v>
      </c>
    </row>
    <row r="611" spans="2:3" ht="15" customHeight="1" x14ac:dyDescent="0.2">
      <c r="B611" s="297" t="s">
        <v>4623</v>
      </c>
      <c r="C611" s="298">
        <v>90</v>
      </c>
    </row>
    <row r="612" spans="2:3" ht="15" customHeight="1" x14ac:dyDescent="0.2">
      <c r="B612" s="297" t="s">
        <v>3965</v>
      </c>
      <c r="C612" s="298">
        <v>1</v>
      </c>
    </row>
    <row r="613" spans="2:3" ht="15" customHeight="1" x14ac:dyDescent="0.2">
      <c r="B613" s="297" t="s">
        <v>3966</v>
      </c>
      <c r="C613" s="298">
        <v>1</v>
      </c>
    </row>
    <row r="614" spans="2:3" ht="15" customHeight="1" x14ac:dyDescent="0.2">
      <c r="B614" s="297" t="s">
        <v>3967</v>
      </c>
      <c r="C614" s="298">
        <v>4</v>
      </c>
    </row>
    <row r="615" spans="2:3" ht="15" customHeight="1" x14ac:dyDescent="0.2">
      <c r="B615" s="297" t="s">
        <v>3968</v>
      </c>
      <c r="C615" s="298">
        <v>3</v>
      </c>
    </row>
    <row r="616" spans="2:3" ht="15" customHeight="1" x14ac:dyDescent="0.2">
      <c r="B616" s="297" t="s">
        <v>3969</v>
      </c>
      <c r="C616" s="298">
        <v>5</v>
      </c>
    </row>
    <row r="617" spans="2:3" ht="15" customHeight="1" x14ac:dyDescent="0.2">
      <c r="B617" s="297" t="s">
        <v>3970</v>
      </c>
      <c r="C617" s="298">
        <v>1</v>
      </c>
    </row>
    <row r="618" spans="2:3" ht="15" customHeight="1" x14ac:dyDescent="0.2">
      <c r="B618" s="297" t="s">
        <v>3971</v>
      </c>
      <c r="C618" s="298">
        <v>2</v>
      </c>
    </row>
    <row r="619" spans="2:3" ht="15" customHeight="1" x14ac:dyDescent="0.2">
      <c r="B619" s="297" t="s">
        <v>4624</v>
      </c>
      <c r="C619" s="298">
        <v>32</v>
      </c>
    </row>
    <row r="620" spans="2:3" ht="15" customHeight="1" x14ac:dyDescent="0.2">
      <c r="B620" s="297" t="s">
        <v>4626</v>
      </c>
      <c r="C620" s="298">
        <v>63</v>
      </c>
    </row>
    <row r="621" spans="2:3" ht="15" customHeight="1" x14ac:dyDescent="0.2">
      <c r="B621" s="297" t="s">
        <v>4625</v>
      </c>
      <c r="C621" s="298">
        <v>34</v>
      </c>
    </row>
    <row r="622" spans="2:3" ht="15" customHeight="1" x14ac:dyDescent="0.2">
      <c r="B622" s="297" t="s">
        <v>3972</v>
      </c>
      <c r="C622" s="298">
        <v>3</v>
      </c>
    </row>
    <row r="623" spans="2:3" ht="15" customHeight="1" x14ac:dyDescent="0.2">
      <c r="B623" s="297" t="s">
        <v>3973</v>
      </c>
      <c r="C623" s="298">
        <v>2</v>
      </c>
    </row>
    <row r="624" spans="2:3" ht="15" customHeight="1" x14ac:dyDescent="0.2">
      <c r="B624" s="297" t="s">
        <v>3974</v>
      </c>
      <c r="C624" s="298">
        <v>7</v>
      </c>
    </row>
    <row r="625" spans="2:3" ht="15" customHeight="1" x14ac:dyDescent="0.2">
      <c r="B625" s="297" t="s">
        <v>3975</v>
      </c>
      <c r="C625" s="298">
        <v>1</v>
      </c>
    </row>
    <row r="626" spans="2:3" ht="15" customHeight="1" x14ac:dyDescent="0.2">
      <c r="B626" s="297" t="s">
        <v>3976</v>
      </c>
      <c r="C626" s="298">
        <v>1</v>
      </c>
    </row>
    <row r="627" spans="2:3" ht="15" customHeight="1" x14ac:dyDescent="0.2">
      <c r="B627" s="297" t="s">
        <v>3977</v>
      </c>
      <c r="C627" s="298">
        <v>1</v>
      </c>
    </row>
    <row r="628" spans="2:3" ht="15" customHeight="1" x14ac:dyDescent="0.2">
      <c r="B628" s="297" t="s">
        <v>4628</v>
      </c>
      <c r="C628" s="298">
        <v>59</v>
      </c>
    </row>
    <row r="629" spans="2:3" ht="15" customHeight="1" x14ac:dyDescent="0.2">
      <c r="B629" s="297" t="s">
        <v>4627</v>
      </c>
      <c r="C629" s="298">
        <v>202</v>
      </c>
    </row>
    <row r="630" spans="2:3" ht="15" customHeight="1" x14ac:dyDescent="0.2">
      <c r="B630" s="297" t="s">
        <v>4630</v>
      </c>
      <c r="C630" s="298">
        <v>95</v>
      </c>
    </row>
    <row r="631" spans="2:3" ht="15" customHeight="1" x14ac:dyDescent="0.2">
      <c r="B631" s="297" t="s">
        <v>4629</v>
      </c>
      <c r="C631" s="298">
        <v>3</v>
      </c>
    </row>
    <row r="632" spans="2:3" ht="15" customHeight="1" x14ac:dyDescent="0.2">
      <c r="B632" s="297" t="s">
        <v>4631</v>
      </c>
      <c r="C632" s="298">
        <v>10</v>
      </c>
    </row>
    <row r="633" spans="2:3" ht="15" customHeight="1" x14ac:dyDescent="0.2">
      <c r="B633" s="297" t="s">
        <v>3978</v>
      </c>
      <c r="C633" s="298">
        <v>10</v>
      </c>
    </row>
    <row r="634" spans="2:3" ht="15" customHeight="1" x14ac:dyDescent="0.2">
      <c r="B634" s="297" t="s">
        <v>3979</v>
      </c>
      <c r="C634" s="298">
        <v>3</v>
      </c>
    </row>
    <row r="635" spans="2:3" ht="15" customHeight="1" x14ac:dyDescent="0.2">
      <c r="B635" s="297" t="s">
        <v>3980</v>
      </c>
      <c r="C635" s="298">
        <v>1</v>
      </c>
    </row>
    <row r="636" spans="2:3" ht="15" customHeight="1" x14ac:dyDescent="0.2">
      <c r="B636" s="297" t="s">
        <v>3981</v>
      </c>
      <c r="C636" s="298">
        <v>2</v>
      </c>
    </row>
    <row r="637" spans="2:3" ht="15" customHeight="1" x14ac:dyDescent="0.2">
      <c r="B637" s="297" t="s">
        <v>4632</v>
      </c>
      <c r="C637" s="298">
        <v>74</v>
      </c>
    </row>
    <row r="638" spans="2:3" ht="15" customHeight="1" x14ac:dyDescent="0.2">
      <c r="B638" s="297" t="s">
        <v>3982</v>
      </c>
      <c r="C638" s="298">
        <v>3</v>
      </c>
    </row>
    <row r="639" spans="2:3" ht="15" customHeight="1" x14ac:dyDescent="0.2">
      <c r="B639" s="297" t="s">
        <v>3983</v>
      </c>
      <c r="C639" s="298">
        <v>1</v>
      </c>
    </row>
    <row r="640" spans="2:3" ht="15" customHeight="1" x14ac:dyDescent="0.2">
      <c r="B640" s="297" t="s">
        <v>4633</v>
      </c>
      <c r="C640" s="298">
        <v>72</v>
      </c>
    </row>
    <row r="641" spans="2:3" ht="15" customHeight="1" x14ac:dyDescent="0.2">
      <c r="B641" s="297" t="s">
        <v>3984</v>
      </c>
      <c r="C641" s="298">
        <v>1</v>
      </c>
    </row>
    <row r="642" spans="2:3" ht="15" customHeight="1" x14ac:dyDescent="0.2">
      <c r="B642" s="297" t="s">
        <v>4635</v>
      </c>
      <c r="C642" s="298">
        <v>54</v>
      </c>
    </row>
    <row r="643" spans="2:3" ht="15" customHeight="1" x14ac:dyDescent="0.2">
      <c r="B643" s="297" t="s">
        <v>4634</v>
      </c>
      <c r="C643" s="298">
        <v>57</v>
      </c>
    </row>
    <row r="644" spans="2:3" ht="15" customHeight="1" x14ac:dyDescent="0.2">
      <c r="B644" s="297" t="s">
        <v>4636</v>
      </c>
      <c r="C644" s="298">
        <v>21</v>
      </c>
    </row>
    <row r="645" spans="2:3" ht="15" customHeight="1" x14ac:dyDescent="0.2">
      <c r="B645" s="297" t="s">
        <v>4637</v>
      </c>
      <c r="C645" s="298">
        <v>2</v>
      </c>
    </row>
    <row r="646" spans="2:3" ht="15" customHeight="1" x14ac:dyDescent="0.2">
      <c r="B646" s="297" t="s">
        <v>4638</v>
      </c>
      <c r="C646" s="298">
        <v>8</v>
      </c>
    </row>
    <row r="647" spans="2:3" ht="15" customHeight="1" x14ac:dyDescent="0.2">
      <c r="B647" s="297" t="s">
        <v>4639</v>
      </c>
      <c r="C647" s="298">
        <v>20</v>
      </c>
    </row>
    <row r="648" spans="2:3" ht="15" customHeight="1" x14ac:dyDescent="0.2">
      <c r="B648" s="297" t="s">
        <v>4640</v>
      </c>
      <c r="C648" s="298">
        <v>15</v>
      </c>
    </row>
    <row r="649" spans="2:3" ht="15" customHeight="1" x14ac:dyDescent="0.2">
      <c r="B649" s="297" t="s">
        <v>3985</v>
      </c>
      <c r="C649" s="298">
        <v>1</v>
      </c>
    </row>
    <row r="650" spans="2:3" ht="15" customHeight="1" x14ac:dyDescent="0.2">
      <c r="B650" s="297" t="s">
        <v>3986</v>
      </c>
      <c r="C650" s="298">
        <v>1</v>
      </c>
    </row>
    <row r="651" spans="2:3" ht="15" customHeight="1" x14ac:dyDescent="0.2">
      <c r="B651" s="297" t="s">
        <v>3987</v>
      </c>
      <c r="C651" s="298">
        <v>1</v>
      </c>
    </row>
    <row r="652" spans="2:3" ht="15" customHeight="1" x14ac:dyDescent="0.2">
      <c r="B652" s="297" t="s">
        <v>3988</v>
      </c>
      <c r="C652" s="298">
        <v>25</v>
      </c>
    </row>
    <row r="653" spans="2:3" ht="15" customHeight="1" x14ac:dyDescent="0.2">
      <c r="B653" s="297" t="s">
        <v>3989</v>
      </c>
      <c r="C653" s="298">
        <v>10</v>
      </c>
    </row>
    <row r="654" spans="2:3" ht="15" customHeight="1" x14ac:dyDescent="0.2">
      <c r="B654" s="297" t="s">
        <v>3990</v>
      </c>
      <c r="C654" s="298">
        <v>1</v>
      </c>
    </row>
    <row r="655" spans="2:3" ht="15" customHeight="1" x14ac:dyDescent="0.2">
      <c r="B655" s="297" t="s">
        <v>3991</v>
      </c>
      <c r="C655" s="298">
        <v>3</v>
      </c>
    </row>
    <row r="656" spans="2:3" ht="15" customHeight="1" x14ac:dyDescent="0.2">
      <c r="B656" s="297" t="s">
        <v>4642</v>
      </c>
      <c r="C656" s="298">
        <v>44</v>
      </c>
    </row>
    <row r="657" spans="2:3" ht="15" customHeight="1" x14ac:dyDescent="0.2">
      <c r="B657" s="297" t="s">
        <v>4641</v>
      </c>
      <c r="C657" s="298">
        <v>20</v>
      </c>
    </row>
    <row r="658" spans="2:3" ht="15" customHeight="1" x14ac:dyDescent="0.2">
      <c r="B658" s="297" t="s">
        <v>4646</v>
      </c>
      <c r="C658" s="298">
        <v>37</v>
      </c>
    </row>
    <row r="659" spans="2:3" ht="15" customHeight="1" x14ac:dyDescent="0.2">
      <c r="B659" s="297" t="s">
        <v>4647</v>
      </c>
      <c r="C659" s="298">
        <v>2</v>
      </c>
    </row>
    <row r="660" spans="2:3" ht="15" customHeight="1" x14ac:dyDescent="0.2">
      <c r="B660" s="297" t="s">
        <v>4644</v>
      </c>
      <c r="C660" s="298">
        <v>20</v>
      </c>
    </row>
    <row r="661" spans="2:3" ht="15" customHeight="1" x14ac:dyDescent="0.2">
      <c r="B661" s="297" t="s">
        <v>4643</v>
      </c>
      <c r="C661" s="298">
        <v>58</v>
      </c>
    </row>
    <row r="662" spans="2:3" ht="15" customHeight="1" x14ac:dyDescent="0.2">
      <c r="B662" s="297" t="s">
        <v>4645</v>
      </c>
      <c r="C662" s="298">
        <v>11</v>
      </c>
    </row>
    <row r="663" spans="2:3" ht="15" customHeight="1" x14ac:dyDescent="0.2">
      <c r="B663" s="297" t="s">
        <v>3992</v>
      </c>
      <c r="C663" s="298">
        <v>2</v>
      </c>
    </row>
    <row r="664" spans="2:3" ht="15" customHeight="1" x14ac:dyDescent="0.2">
      <c r="B664" s="297" t="s">
        <v>3993</v>
      </c>
      <c r="C664" s="298">
        <v>1</v>
      </c>
    </row>
    <row r="665" spans="2:3" ht="15" customHeight="1" x14ac:dyDescent="0.2">
      <c r="B665" s="297" t="s">
        <v>3994</v>
      </c>
      <c r="C665" s="298">
        <v>4</v>
      </c>
    </row>
    <row r="666" spans="2:3" ht="15" customHeight="1" x14ac:dyDescent="0.2">
      <c r="B666" s="297" t="s">
        <v>4650</v>
      </c>
      <c r="C666" s="298">
        <v>94</v>
      </c>
    </row>
    <row r="667" spans="2:3" ht="15" customHeight="1" x14ac:dyDescent="0.2">
      <c r="B667" s="297" t="s">
        <v>4648</v>
      </c>
      <c r="C667" s="298">
        <v>35</v>
      </c>
    </row>
    <row r="668" spans="2:3" ht="15" customHeight="1" x14ac:dyDescent="0.2">
      <c r="B668" s="297" t="s">
        <v>4649</v>
      </c>
      <c r="C668" s="298">
        <v>64</v>
      </c>
    </row>
    <row r="669" spans="2:3" ht="15" customHeight="1" x14ac:dyDescent="0.2">
      <c r="B669" s="297" t="s">
        <v>4653</v>
      </c>
      <c r="C669" s="298">
        <v>63</v>
      </c>
    </row>
    <row r="670" spans="2:3" ht="15" customHeight="1" x14ac:dyDescent="0.2">
      <c r="B670" s="297" t="s">
        <v>4652</v>
      </c>
      <c r="C670" s="298">
        <v>35</v>
      </c>
    </row>
    <row r="671" spans="2:3" ht="15" customHeight="1" x14ac:dyDescent="0.2">
      <c r="B671" s="297" t="s">
        <v>4651</v>
      </c>
      <c r="C671" s="298">
        <v>2</v>
      </c>
    </row>
    <row r="672" spans="2:3" ht="15" customHeight="1" x14ac:dyDescent="0.2">
      <c r="B672" s="297" t="s">
        <v>3995</v>
      </c>
      <c r="C672" s="298">
        <v>2</v>
      </c>
    </row>
    <row r="673" spans="2:3" ht="15" customHeight="1" x14ac:dyDescent="0.2">
      <c r="B673" s="297" t="s">
        <v>3996</v>
      </c>
      <c r="C673" s="298">
        <v>2</v>
      </c>
    </row>
    <row r="674" spans="2:3" ht="15" customHeight="1" x14ac:dyDescent="0.2">
      <c r="B674" s="297" t="s">
        <v>3997</v>
      </c>
      <c r="C674" s="298">
        <v>1</v>
      </c>
    </row>
    <row r="675" spans="2:3" ht="15" customHeight="1" x14ac:dyDescent="0.2">
      <c r="B675" s="297" t="s">
        <v>4654</v>
      </c>
      <c r="C675" s="298">
        <v>7</v>
      </c>
    </row>
    <row r="676" spans="2:3" ht="15" customHeight="1" x14ac:dyDescent="0.2">
      <c r="B676" s="297" t="s">
        <v>4655</v>
      </c>
      <c r="C676" s="298">
        <v>39</v>
      </c>
    </row>
    <row r="677" spans="2:3" ht="15" customHeight="1" x14ac:dyDescent="0.2">
      <c r="B677" s="297" t="s">
        <v>4657</v>
      </c>
      <c r="C677" s="298">
        <v>21</v>
      </c>
    </row>
    <row r="678" spans="2:3" ht="15" customHeight="1" x14ac:dyDescent="0.2">
      <c r="B678" s="297" t="s">
        <v>4656</v>
      </c>
      <c r="C678" s="298">
        <v>24</v>
      </c>
    </row>
    <row r="679" spans="2:3" ht="15" customHeight="1" x14ac:dyDescent="0.2">
      <c r="B679" s="297" t="s">
        <v>4658</v>
      </c>
      <c r="C679" s="298">
        <v>1</v>
      </c>
    </row>
    <row r="680" spans="2:3" ht="15" customHeight="1" x14ac:dyDescent="0.2">
      <c r="B680" s="297" t="s">
        <v>3998</v>
      </c>
      <c r="C680" s="298">
        <v>1</v>
      </c>
    </row>
    <row r="681" spans="2:3" ht="15" customHeight="1" x14ac:dyDescent="0.2">
      <c r="B681" s="297" t="s">
        <v>3999</v>
      </c>
      <c r="C681" s="298">
        <v>2</v>
      </c>
    </row>
    <row r="682" spans="2:3" ht="15" customHeight="1" x14ac:dyDescent="0.2">
      <c r="B682" s="297" t="s">
        <v>4000</v>
      </c>
      <c r="C682" s="298">
        <v>1</v>
      </c>
    </row>
    <row r="683" spans="2:3" ht="15" customHeight="1" x14ac:dyDescent="0.2">
      <c r="B683" s="297" t="s">
        <v>4659</v>
      </c>
      <c r="C683" s="298">
        <v>1</v>
      </c>
    </row>
    <row r="684" spans="2:3" ht="15" customHeight="1" x14ac:dyDescent="0.2">
      <c r="B684" s="297" t="s">
        <v>4001</v>
      </c>
      <c r="C684" s="298">
        <v>1</v>
      </c>
    </row>
    <row r="685" spans="2:3" ht="15" customHeight="1" x14ac:dyDescent="0.2">
      <c r="B685" s="297" t="s">
        <v>4660</v>
      </c>
      <c r="C685" s="298">
        <v>5</v>
      </c>
    </row>
    <row r="686" spans="2:3" ht="15" customHeight="1" x14ac:dyDescent="0.2">
      <c r="B686" s="297" t="s">
        <v>4002</v>
      </c>
      <c r="C686" s="298">
        <v>6</v>
      </c>
    </row>
    <row r="687" spans="2:3" ht="15" customHeight="1" x14ac:dyDescent="0.2">
      <c r="B687" s="297" t="s">
        <v>4003</v>
      </c>
      <c r="C687" s="298">
        <v>1</v>
      </c>
    </row>
    <row r="688" spans="2:3" ht="15" customHeight="1" x14ac:dyDescent="0.2">
      <c r="B688" s="297" t="s">
        <v>4661</v>
      </c>
      <c r="C688" s="298">
        <v>15</v>
      </c>
    </row>
    <row r="689" spans="2:3" ht="15" customHeight="1" x14ac:dyDescent="0.2">
      <c r="B689" s="297" t="s">
        <v>4662</v>
      </c>
      <c r="C689" s="298">
        <v>3</v>
      </c>
    </row>
    <row r="690" spans="2:3" ht="15" customHeight="1" x14ac:dyDescent="0.2">
      <c r="B690" s="297" t="s">
        <v>4663</v>
      </c>
      <c r="C690" s="298">
        <v>4</v>
      </c>
    </row>
    <row r="691" spans="2:3" ht="15" customHeight="1" x14ac:dyDescent="0.2">
      <c r="B691" s="297" t="s">
        <v>4004</v>
      </c>
      <c r="C691" s="298">
        <v>5</v>
      </c>
    </row>
    <row r="692" spans="2:3" ht="15" customHeight="1" x14ac:dyDescent="0.2">
      <c r="B692" s="297" t="s">
        <v>4005</v>
      </c>
      <c r="C692" s="298">
        <v>1</v>
      </c>
    </row>
    <row r="693" spans="2:3" ht="15" customHeight="1" x14ac:dyDescent="0.2">
      <c r="B693" s="297" t="s">
        <v>4006</v>
      </c>
      <c r="C693" s="298">
        <v>1</v>
      </c>
    </row>
    <row r="694" spans="2:3" ht="15" customHeight="1" x14ac:dyDescent="0.2">
      <c r="B694" s="297" t="s">
        <v>4007</v>
      </c>
      <c r="C694" s="298">
        <v>1</v>
      </c>
    </row>
    <row r="695" spans="2:3" ht="15" customHeight="1" x14ac:dyDescent="0.2">
      <c r="B695" s="297" t="s">
        <v>4664</v>
      </c>
      <c r="C695" s="298">
        <v>2</v>
      </c>
    </row>
    <row r="696" spans="2:3" ht="15" customHeight="1" x14ac:dyDescent="0.2">
      <c r="B696" s="297" t="s">
        <v>4008</v>
      </c>
      <c r="C696" s="298">
        <v>1</v>
      </c>
    </row>
    <row r="697" spans="2:3" ht="15" customHeight="1" x14ac:dyDescent="0.2">
      <c r="B697" s="297" t="s">
        <v>4009</v>
      </c>
      <c r="C697" s="298">
        <v>15</v>
      </c>
    </row>
    <row r="698" spans="2:3" ht="15" customHeight="1" x14ac:dyDescent="0.2">
      <c r="B698" s="297" t="s">
        <v>4010</v>
      </c>
      <c r="C698" s="298">
        <v>12</v>
      </c>
    </row>
    <row r="699" spans="2:3" ht="15" customHeight="1" x14ac:dyDescent="0.2">
      <c r="B699" s="297" t="s">
        <v>4011</v>
      </c>
      <c r="C699" s="298">
        <v>2</v>
      </c>
    </row>
    <row r="700" spans="2:3" ht="15" customHeight="1" x14ac:dyDescent="0.2">
      <c r="B700" s="297" t="s">
        <v>4665</v>
      </c>
      <c r="C700" s="298">
        <v>1</v>
      </c>
    </row>
    <row r="701" spans="2:3" ht="15" customHeight="1" x14ac:dyDescent="0.2">
      <c r="B701" s="297" t="s">
        <v>4667</v>
      </c>
      <c r="C701" s="298">
        <v>51</v>
      </c>
    </row>
    <row r="702" spans="2:3" ht="15" customHeight="1" x14ac:dyDescent="0.2">
      <c r="B702" s="297" t="s">
        <v>4666</v>
      </c>
      <c r="C702" s="298">
        <v>89</v>
      </c>
    </row>
    <row r="703" spans="2:3" ht="15" customHeight="1" x14ac:dyDescent="0.2">
      <c r="B703" s="297" t="s">
        <v>4670</v>
      </c>
      <c r="C703" s="298">
        <v>35</v>
      </c>
    </row>
    <row r="704" spans="2:3" ht="15" customHeight="1" x14ac:dyDescent="0.2">
      <c r="B704" s="297" t="s">
        <v>4668</v>
      </c>
      <c r="C704" s="298">
        <v>44</v>
      </c>
    </row>
    <row r="705" spans="2:3" ht="15" customHeight="1" x14ac:dyDescent="0.2">
      <c r="B705" s="297" t="s">
        <v>4669</v>
      </c>
      <c r="C705" s="298">
        <v>12</v>
      </c>
    </row>
    <row r="706" spans="2:3" ht="15" customHeight="1" x14ac:dyDescent="0.2">
      <c r="B706" s="297" t="s">
        <v>4012</v>
      </c>
      <c r="C706" s="298">
        <v>3</v>
      </c>
    </row>
    <row r="707" spans="2:3" ht="15" customHeight="1" x14ac:dyDescent="0.2">
      <c r="B707" s="297" t="s">
        <v>4013</v>
      </c>
      <c r="C707" s="298">
        <v>1</v>
      </c>
    </row>
    <row r="708" spans="2:3" ht="15" customHeight="1" x14ac:dyDescent="0.2">
      <c r="B708" s="297" t="s">
        <v>4014</v>
      </c>
      <c r="C708" s="298">
        <v>1</v>
      </c>
    </row>
    <row r="709" spans="2:3" ht="15" customHeight="1" x14ac:dyDescent="0.2">
      <c r="B709" s="297" t="s">
        <v>4015</v>
      </c>
      <c r="C709" s="298">
        <v>1</v>
      </c>
    </row>
    <row r="710" spans="2:3" ht="15" customHeight="1" x14ac:dyDescent="0.2">
      <c r="B710" s="297" t="s">
        <v>4016</v>
      </c>
      <c r="C710" s="298">
        <v>1</v>
      </c>
    </row>
    <row r="711" spans="2:3" ht="15" customHeight="1" x14ac:dyDescent="0.2">
      <c r="B711" s="297" t="s">
        <v>4671</v>
      </c>
      <c r="C711" s="298">
        <v>119</v>
      </c>
    </row>
    <row r="712" spans="2:3" ht="15" customHeight="1" x14ac:dyDescent="0.2">
      <c r="B712" s="297" t="s">
        <v>4673</v>
      </c>
      <c r="C712" s="298">
        <v>50</v>
      </c>
    </row>
    <row r="713" spans="2:3" ht="15" customHeight="1" x14ac:dyDescent="0.2">
      <c r="B713" s="297" t="s">
        <v>4672</v>
      </c>
      <c r="C713" s="298">
        <v>4</v>
      </c>
    </row>
    <row r="714" spans="2:3" ht="15" customHeight="1" x14ac:dyDescent="0.2">
      <c r="B714" s="297" t="s">
        <v>4674</v>
      </c>
      <c r="C714" s="298">
        <v>3</v>
      </c>
    </row>
    <row r="715" spans="2:3" ht="15" customHeight="1" x14ac:dyDescent="0.2">
      <c r="B715" s="297" t="s">
        <v>4675</v>
      </c>
      <c r="C715" s="298">
        <v>79</v>
      </c>
    </row>
    <row r="716" spans="2:3" ht="15" customHeight="1" x14ac:dyDescent="0.2">
      <c r="B716" s="297" t="s">
        <v>4017</v>
      </c>
      <c r="C716" s="298">
        <v>4</v>
      </c>
    </row>
    <row r="717" spans="2:3" ht="15" customHeight="1" x14ac:dyDescent="0.2">
      <c r="B717" s="297" t="s">
        <v>4018</v>
      </c>
      <c r="C717" s="298">
        <v>4</v>
      </c>
    </row>
    <row r="718" spans="2:3" ht="15" customHeight="1" x14ac:dyDescent="0.2">
      <c r="B718" s="297" t="s">
        <v>4019</v>
      </c>
      <c r="C718" s="298">
        <v>1</v>
      </c>
    </row>
    <row r="719" spans="2:3" ht="15" customHeight="1" x14ac:dyDescent="0.2">
      <c r="B719" s="297" t="s">
        <v>4020</v>
      </c>
      <c r="C719" s="298">
        <v>1</v>
      </c>
    </row>
    <row r="720" spans="2:3" ht="15" customHeight="1" x14ac:dyDescent="0.2">
      <c r="B720" s="297" t="s">
        <v>4021</v>
      </c>
      <c r="C720" s="298">
        <v>1</v>
      </c>
    </row>
    <row r="721" spans="2:3" ht="15" customHeight="1" x14ac:dyDescent="0.2">
      <c r="B721" s="297" t="s">
        <v>4676</v>
      </c>
      <c r="C721" s="298">
        <v>38</v>
      </c>
    </row>
    <row r="722" spans="2:3" ht="15" customHeight="1" x14ac:dyDescent="0.2">
      <c r="B722" s="297" t="s">
        <v>4677</v>
      </c>
      <c r="C722" s="298">
        <v>45</v>
      </c>
    </row>
    <row r="723" spans="2:3" ht="15" customHeight="1" x14ac:dyDescent="0.2">
      <c r="B723" s="297" t="s">
        <v>4678</v>
      </c>
      <c r="C723" s="298">
        <v>14</v>
      </c>
    </row>
    <row r="724" spans="2:3" ht="15" customHeight="1" x14ac:dyDescent="0.2">
      <c r="B724" s="297" t="s">
        <v>4679</v>
      </c>
      <c r="C724" s="298">
        <v>34</v>
      </c>
    </row>
    <row r="725" spans="2:3" ht="15" customHeight="1" x14ac:dyDescent="0.2">
      <c r="B725" s="297" t="s">
        <v>4680</v>
      </c>
      <c r="C725" s="298">
        <v>21</v>
      </c>
    </row>
    <row r="726" spans="2:3" ht="15" customHeight="1" x14ac:dyDescent="0.2">
      <c r="B726" s="297" t="s">
        <v>4681</v>
      </c>
      <c r="C726" s="298">
        <v>5</v>
      </c>
    </row>
    <row r="727" spans="2:3" ht="15" customHeight="1" x14ac:dyDescent="0.2">
      <c r="B727" s="297" t="s">
        <v>4022</v>
      </c>
      <c r="C727" s="298">
        <v>1</v>
      </c>
    </row>
    <row r="728" spans="2:3" ht="15" customHeight="1" x14ac:dyDescent="0.2">
      <c r="B728" s="297" t="s">
        <v>4682</v>
      </c>
      <c r="C728" s="298">
        <v>12</v>
      </c>
    </row>
    <row r="729" spans="2:3" ht="15" customHeight="1" x14ac:dyDescent="0.2">
      <c r="B729" s="297" t="s">
        <v>4023</v>
      </c>
      <c r="C729" s="298">
        <v>1</v>
      </c>
    </row>
    <row r="730" spans="2:3" ht="15" customHeight="1" x14ac:dyDescent="0.2">
      <c r="B730" s="297" t="s">
        <v>4024</v>
      </c>
      <c r="C730" s="298">
        <v>4</v>
      </c>
    </row>
    <row r="731" spans="2:3" ht="15" customHeight="1" x14ac:dyDescent="0.2">
      <c r="B731" s="297" t="s">
        <v>4025</v>
      </c>
      <c r="C731" s="298">
        <v>1</v>
      </c>
    </row>
    <row r="732" spans="2:3" ht="15" customHeight="1" x14ac:dyDescent="0.2">
      <c r="B732" s="297" t="s">
        <v>4683</v>
      </c>
      <c r="C732" s="298">
        <v>7</v>
      </c>
    </row>
    <row r="733" spans="2:3" ht="15" customHeight="1" x14ac:dyDescent="0.2">
      <c r="B733" s="297" t="s">
        <v>4684</v>
      </c>
      <c r="C733" s="298">
        <v>100</v>
      </c>
    </row>
    <row r="734" spans="2:3" ht="15" customHeight="1" x14ac:dyDescent="0.2">
      <c r="B734" s="297" t="s">
        <v>4686</v>
      </c>
      <c r="C734" s="298">
        <v>2</v>
      </c>
    </row>
    <row r="735" spans="2:3" ht="15" customHeight="1" x14ac:dyDescent="0.2">
      <c r="B735" s="297" t="s">
        <v>4685</v>
      </c>
      <c r="C735" s="298">
        <v>26</v>
      </c>
    </row>
    <row r="736" spans="2:3" ht="15" customHeight="1" x14ac:dyDescent="0.2">
      <c r="B736" s="297" t="s">
        <v>4026</v>
      </c>
      <c r="C736" s="298">
        <v>1</v>
      </c>
    </row>
    <row r="737" spans="2:3" ht="15" customHeight="1" x14ac:dyDescent="0.2">
      <c r="B737" s="297" t="s">
        <v>4027</v>
      </c>
      <c r="C737" s="298">
        <v>1</v>
      </c>
    </row>
    <row r="738" spans="2:3" ht="15" customHeight="1" x14ac:dyDescent="0.2">
      <c r="B738" s="297" t="s">
        <v>4028</v>
      </c>
      <c r="C738" s="298">
        <v>2</v>
      </c>
    </row>
    <row r="739" spans="2:3" ht="15" customHeight="1" x14ac:dyDescent="0.2">
      <c r="B739" s="297" t="s">
        <v>4029</v>
      </c>
      <c r="C739" s="298">
        <v>1</v>
      </c>
    </row>
    <row r="740" spans="2:3" ht="15" customHeight="1" x14ac:dyDescent="0.2">
      <c r="B740" s="297" t="s">
        <v>4030</v>
      </c>
      <c r="C740" s="298">
        <v>1</v>
      </c>
    </row>
    <row r="741" spans="2:3" ht="15" customHeight="1" x14ac:dyDescent="0.2">
      <c r="B741" s="297" t="s">
        <v>4031</v>
      </c>
      <c r="C741" s="298">
        <v>1</v>
      </c>
    </row>
    <row r="742" spans="2:3" ht="15" customHeight="1" x14ac:dyDescent="0.2">
      <c r="B742" s="297" t="s">
        <v>4687</v>
      </c>
      <c r="C742" s="298">
        <v>48</v>
      </c>
    </row>
    <row r="743" spans="2:3" ht="15" customHeight="1" x14ac:dyDescent="0.2">
      <c r="B743" s="297" t="s">
        <v>4688</v>
      </c>
      <c r="C743" s="298">
        <v>93</v>
      </c>
    </row>
    <row r="744" spans="2:3" ht="15" customHeight="1" x14ac:dyDescent="0.2">
      <c r="B744" s="297" t="s">
        <v>4689</v>
      </c>
      <c r="C744" s="298">
        <v>6</v>
      </c>
    </row>
    <row r="745" spans="2:3" ht="15" customHeight="1" x14ac:dyDescent="0.2">
      <c r="B745" s="297" t="s">
        <v>4690</v>
      </c>
      <c r="C745" s="298">
        <v>124</v>
      </c>
    </row>
    <row r="746" spans="2:3" ht="15" customHeight="1" x14ac:dyDescent="0.2">
      <c r="B746" s="297" t="s">
        <v>4032</v>
      </c>
      <c r="C746" s="298">
        <v>1</v>
      </c>
    </row>
    <row r="747" spans="2:3" ht="15" customHeight="1" x14ac:dyDescent="0.2">
      <c r="B747" s="297" t="s">
        <v>4691</v>
      </c>
      <c r="C747" s="298">
        <v>50</v>
      </c>
    </row>
    <row r="748" spans="2:3" ht="15" customHeight="1" x14ac:dyDescent="0.2">
      <c r="B748" s="297" t="s">
        <v>4692</v>
      </c>
      <c r="C748" s="298">
        <v>21</v>
      </c>
    </row>
    <row r="749" spans="2:3" ht="15" customHeight="1" x14ac:dyDescent="0.2">
      <c r="B749" s="297" t="s">
        <v>4693</v>
      </c>
      <c r="C749" s="298">
        <v>50</v>
      </c>
    </row>
    <row r="750" spans="2:3" ht="15" customHeight="1" x14ac:dyDescent="0.2">
      <c r="B750" s="297" t="s">
        <v>4696</v>
      </c>
      <c r="C750" s="298">
        <v>2</v>
      </c>
    </row>
    <row r="751" spans="2:3" ht="15" customHeight="1" x14ac:dyDescent="0.2">
      <c r="B751" s="297" t="s">
        <v>4694</v>
      </c>
      <c r="C751" s="298">
        <v>11</v>
      </c>
    </row>
    <row r="752" spans="2:3" ht="15" customHeight="1" x14ac:dyDescent="0.2">
      <c r="B752" s="297" t="s">
        <v>4695</v>
      </c>
      <c r="C752" s="298">
        <v>79</v>
      </c>
    </row>
    <row r="753" spans="2:3" ht="15" customHeight="1" x14ac:dyDescent="0.2">
      <c r="B753" s="297" t="s">
        <v>4033</v>
      </c>
      <c r="C753" s="298">
        <v>2</v>
      </c>
    </row>
    <row r="754" spans="2:3" ht="15" customHeight="1" x14ac:dyDescent="0.2">
      <c r="B754" s="297" t="s">
        <v>4699</v>
      </c>
      <c r="C754" s="298">
        <v>20</v>
      </c>
    </row>
    <row r="755" spans="2:3" ht="15" customHeight="1" x14ac:dyDescent="0.2">
      <c r="B755" s="297" t="s">
        <v>4698</v>
      </c>
      <c r="C755" s="298">
        <v>10</v>
      </c>
    </row>
    <row r="756" spans="2:3" ht="15" customHeight="1" x14ac:dyDescent="0.2">
      <c r="B756" s="297" t="s">
        <v>4697</v>
      </c>
      <c r="C756" s="298">
        <v>9</v>
      </c>
    </row>
    <row r="757" spans="2:3" ht="15" customHeight="1" x14ac:dyDescent="0.2">
      <c r="B757" s="297" t="s">
        <v>4700</v>
      </c>
      <c r="C757" s="298">
        <v>10</v>
      </c>
    </row>
    <row r="758" spans="2:3" ht="15" customHeight="1" x14ac:dyDescent="0.2">
      <c r="B758" s="297" t="s">
        <v>4701</v>
      </c>
      <c r="C758" s="298">
        <v>22</v>
      </c>
    </row>
    <row r="759" spans="2:3" ht="15" customHeight="1" x14ac:dyDescent="0.2">
      <c r="B759" s="297" t="s">
        <v>4702</v>
      </c>
      <c r="C759" s="298">
        <v>2</v>
      </c>
    </row>
    <row r="760" spans="2:3" ht="15" customHeight="1" x14ac:dyDescent="0.2">
      <c r="B760" s="297" t="s">
        <v>4034</v>
      </c>
      <c r="C760" s="298">
        <v>2</v>
      </c>
    </row>
    <row r="761" spans="2:3" ht="15" customHeight="1" x14ac:dyDescent="0.2">
      <c r="B761" s="297" t="s">
        <v>4035</v>
      </c>
      <c r="C761" s="298">
        <v>1</v>
      </c>
    </row>
    <row r="762" spans="2:3" ht="15" customHeight="1" x14ac:dyDescent="0.2">
      <c r="B762" s="297" t="s">
        <v>4036</v>
      </c>
      <c r="C762" s="298">
        <v>3</v>
      </c>
    </row>
    <row r="763" spans="2:3" ht="15" customHeight="1" x14ac:dyDescent="0.2">
      <c r="B763" s="297" t="s">
        <v>4037</v>
      </c>
      <c r="C763" s="298">
        <v>1</v>
      </c>
    </row>
    <row r="764" spans="2:3" ht="15" customHeight="1" x14ac:dyDescent="0.2">
      <c r="B764" s="297" t="s">
        <v>4038</v>
      </c>
      <c r="C764" s="298">
        <v>1</v>
      </c>
    </row>
    <row r="765" spans="2:3" ht="15" customHeight="1" x14ac:dyDescent="0.2">
      <c r="B765" s="297" t="s">
        <v>4039</v>
      </c>
      <c r="C765" s="298">
        <v>1</v>
      </c>
    </row>
    <row r="766" spans="2:3" ht="15" customHeight="1" x14ac:dyDescent="0.2">
      <c r="B766" s="297" t="s">
        <v>4705</v>
      </c>
      <c r="C766" s="298">
        <v>37</v>
      </c>
    </row>
    <row r="767" spans="2:3" ht="15" customHeight="1" x14ac:dyDescent="0.2">
      <c r="B767" s="297" t="s">
        <v>4704</v>
      </c>
      <c r="C767" s="298">
        <v>103</v>
      </c>
    </row>
    <row r="768" spans="2:3" ht="15" customHeight="1" x14ac:dyDescent="0.2">
      <c r="B768" s="297" t="s">
        <v>4703</v>
      </c>
      <c r="C768" s="298">
        <v>73</v>
      </c>
    </row>
    <row r="769" spans="2:3" ht="15" customHeight="1" x14ac:dyDescent="0.2">
      <c r="B769" s="297" t="s">
        <v>4706</v>
      </c>
      <c r="C769" s="298">
        <v>2</v>
      </c>
    </row>
    <row r="770" spans="2:3" ht="15" customHeight="1" x14ac:dyDescent="0.2">
      <c r="B770" s="297" t="s">
        <v>4708</v>
      </c>
      <c r="C770" s="298">
        <v>12</v>
      </c>
    </row>
    <row r="771" spans="2:3" ht="15" customHeight="1" x14ac:dyDescent="0.2">
      <c r="B771" s="297" t="s">
        <v>4707</v>
      </c>
      <c r="C771" s="298">
        <v>33</v>
      </c>
    </row>
    <row r="772" spans="2:3" ht="15" customHeight="1" x14ac:dyDescent="0.2">
      <c r="B772" s="297" t="s">
        <v>4040</v>
      </c>
      <c r="C772" s="298">
        <v>2</v>
      </c>
    </row>
    <row r="773" spans="2:3" ht="15" customHeight="1" x14ac:dyDescent="0.2">
      <c r="B773" s="297" t="s">
        <v>4041</v>
      </c>
      <c r="C773" s="298">
        <v>3</v>
      </c>
    </row>
    <row r="774" spans="2:3" ht="15" customHeight="1" x14ac:dyDescent="0.2">
      <c r="B774" s="297" t="s">
        <v>4042</v>
      </c>
      <c r="C774" s="298">
        <v>2</v>
      </c>
    </row>
    <row r="775" spans="2:3" ht="15" customHeight="1" x14ac:dyDescent="0.2">
      <c r="B775" s="297" t="s">
        <v>4043</v>
      </c>
      <c r="C775" s="298">
        <v>1</v>
      </c>
    </row>
    <row r="776" spans="2:3" ht="15" customHeight="1" x14ac:dyDescent="0.2">
      <c r="B776" s="297" t="s">
        <v>4044</v>
      </c>
      <c r="C776" s="298">
        <v>2</v>
      </c>
    </row>
    <row r="777" spans="2:3" ht="15" customHeight="1" x14ac:dyDescent="0.2">
      <c r="B777" s="297" t="s">
        <v>4045</v>
      </c>
      <c r="C777" s="298">
        <v>-25</v>
      </c>
    </row>
    <row r="778" spans="2:3" ht="15" customHeight="1" x14ac:dyDescent="0.2">
      <c r="B778" s="297" t="s">
        <v>4712</v>
      </c>
      <c r="C778" s="298">
        <v>70</v>
      </c>
    </row>
    <row r="779" spans="2:3" ht="15" customHeight="1" x14ac:dyDescent="0.2">
      <c r="B779" s="297" t="s">
        <v>4709</v>
      </c>
      <c r="C779" s="298">
        <v>1</v>
      </c>
    </row>
    <row r="780" spans="2:3" ht="15" customHeight="1" x14ac:dyDescent="0.2">
      <c r="B780" s="297" t="s">
        <v>4710</v>
      </c>
      <c r="C780" s="298">
        <v>27</v>
      </c>
    </row>
    <row r="781" spans="2:3" ht="15" customHeight="1" x14ac:dyDescent="0.2">
      <c r="B781" s="297" t="s">
        <v>4711</v>
      </c>
      <c r="C781" s="298">
        <v>17</v>
      </c>
    </row>
    <row r="782" spans="2:3" ht="15" customHeight="1" x14ac:dyDescent="0.2">
      <c r="B782" s="297" t="s">
        <v>4714</v>
      </c>
      <c r="C782" s="298">
        <v>75</v>
      </c>
    </row>
    <row r="783" spans="2:3" ht="15" customHeight="1" x14ac:dyDescent="0.2">
      <c r="B783" s="297" t="s">
        <v>4713</v>
      </c>
      <c r="C783" s="298">
        <v>3</v>
      </c>
    </row>
    <row r="784" spans="2:3" ht="15" customHeight="1" x14ac:dyDescent="0.2">
      <c r="B784" s="297" t="s">
        <v>4046</v>
      </c>
      <c r="C784" s="298">
        <v>2</v>
      </c>
    </row>
    <row r="785" spans="2:3" ht="15" customHeight="1" x14ac:dyDescent="0.2">
      <c r="B785" s="297" t="s">
        <v>4047</v>
      </c>
      <c r="C785" s="298">
        <v>17</v>
      </c>
    </row>
    <row r="786" spans="2:3" ht="15" customHeight="1" x14ac:dyDescent="0.2">
      <c r="B786" s="297" t="s">
        <v>4048</v>
      </c>
      <c r="C786" s="298">
        <v>-1</v>
      </c>
    </row>
    <row r="787" spans="2:3" ht="15" customHeight="1" x14ac:dyDescent="0.2">
      <c r="B787" s="297" t="s">
        <v>4715</v>
      </c>
      <c r="C787" s="298">
        <v>16</v>
      </c>
    </row>
    <row r="788" spans="2:3" ht="15" customHeight="1" x14ac:dyDescent="0.2">
      <c r="B788" s="297" t="s">
        <v>4716</v>
      </c>
      <c r="C788" s="298">
        <v>12</v>
      </c>
    </row>
    <row r="789" spans="2:3" ht="15" customHeight="1" x14ac:dyDescent="0.2">
      <c r="B789" s="297" t="s">
        <v>4717</v>
      </c>
      <c r="C789" s="298">
        <v>31</v>
      </c>
    </row>
    <row r="790" spans="2:3" ht="15" customHeight="1" x14ac:dyDescent="0.2">
      <c r="B790" s="297" t="s">
        <v>4718</v>
      </c>
      <c r="C790" s="298">
        <v>1</v>
      </c>
    </row>
    <row r="791" spans="2:3" ht="15" customHeight="1" x14ac:dyDescent="0.2">
      <c r="B791" s="297" t="s">
        <v>4049</v>
      </c>
      <c r="C791" s="298">
        <v>1</v>
      </c>
    </row>
    <row r="792" spans="2:3" ht="15" customHeight="1" x14ac:dyDescent="0.2">
      <c r="B792" s="297" t="s">
        <v>4719</v>
      </c>
      <c r="C792" s="298">
        <v>1</v>
      </c>
    </row>
    <row r="793" spans="2:3" ht="15" customHeight="1" x14ac:dyDescent="0.2">
      <c r="B793" s="297" t="s">
        <v>4720</v>
      </c>
      <c r="C793" s="298">
        <v>10</v>
      </c>
    </row>
    <row r="794" spans="2:3" ht="15" customHeight="1" x14ac:dyDescent="0.2">
      <c r="B794" s="297" t="s">
        <v>4050</v>
      </c>
      <c r="C794" s="298">
        <v>3</v>
      </c>
    </row>
    <row r="795" spans="2:3" ht="15" customHeight="1" x14ac:dyDescent="0.2">
      <c r="B795" s="297" t="s">
        <v>4051</v>
      </c>
      <c r="C795" s="298">
        <v>3</v>
      </c>
    </row>
    <row r="796" spans="2:3" ht="15" customHeight="1" x14ac:dyDescent="0.2">
      <c r="B796" s="297" t="s">
        <v>4052</v>
      </c>
      <c r="C796" s="298">
        <v>2</v>
      </c>
    </row>
    <row r="797" spans="2:3" ht="15" customHeight="1" x14ac:dyDescent="0.2">
      <c r="B797" s="297" t="s">
        <v>4053</v>
      </c>
      <c r="C797" s="298">
        <v>5</v>
      </c>
    </row>
    <row r="798" spans="2:3" ht="15" customHeight="1" x14ac:dyDescent="0.2">
      <c r="B798" s="297" t="s">
        <v>4721</v>
      </c>
      <c r="C798" s="298">
        <v>4</v>
      </c>
    </row>
    <row r="799" spans="2:3" ht="15" customHeight="1" x14ac:dyDescent="0.2">
      <c r="B799" s="297" t="s">
        <v>4054</v>
      </c>
      <c r="C799" s="298">
        <v>2</v>
      </c>
    </row>
    <row r="800" spans="2:3" ht="15" customHeight="1" x14ac:dyDescent="0.2">
      <c r="B800" s="297" t="s">
        <v>4055</v>
      </c>
      <c r="C800" s="298">
        <v>7</v>
      </c>
    </row>
    <row r="801" spans="2:3" ht="15" customHeight="1" x14ac:dyDescent="0.2">
      <c r="B801" s="297" t="s">
        <v>4056</v>
      </c>
      <c r="C801" s="298">
        <v>9</v>
      </c>
    </row>
    <row r="802" spans="2:3" ht="15" customHeight="1" x14ac:dyDescent="0.2">
      <c r="B802" s="297" t="s">
        <v>4057</v>
      </c>
      <c r="C802" s="298">
        <v>4</v>
      </c>
    </row>
    <row r="803" spans="2:3" ht="15" customHeight="1" x14ac:dyDescent="0.2">
      <c r="B803" s="297" t="s">
        <v>4058</v>
      </c>
      <c r="C803" s="298">
        <v>1</v>
      </c>
    </row>
    <row r="804" spans="2:3" ht="15" customHeight="1" x14ac:dyDescent="0.2">
      <c r="B804" s="297" t="s">
        <v>4059</v>
      </c>
      <c r="C804" s="298">
        <v>127</v>
      </c>
    </row>
    <row r="805" spans="2:3" ht="15" customHeight="1" x14ac:dyDescent="0.2">
      <c r="B805" s="297" t="s">
        <v>4060</v>
      </c>
      <c r="C805" s="298">
        <v>1</v>
      </c>
    </row>
    <row r="806" spans="2:3" ht="15" customHeight="1" x14ac:dyDescent="0.2">
      <c r="B806" s="297" t="s">
        <v>4061</v>
      </c>
      <c r="C806" s="298">
        <v>21</v>
      </c>
    </row>
    <row r="807" spans="2:3" ht="15" customHeight="1" x14ac:dyDescent="0.2">
      <c r="B807" s="297" t="s">
        <v>4062</v>
      </c>
      <c r="C807" s="298">
        <v>16</v>
      </c>
    </row>
    <row r="808" spans="2:3" ht="15" customHeight="1" x14ac:dyDescent="0.2">
      <c r="B808" s="297" t="s">
        <v>4063</v>
      </c>
      <c r="C808" s="298">
        <v>6</v>
      </c>
    </row>
    <row r="809" spans="2:3" ht="15" customHeight="1" x14ac:dyDescent="0.2">
      <c r="B809" s="297" t="s">
        <v>4065</v>
      </c>
      <c r="C809" s="298">
        <v>4</v>
      </c>
    </row>
    <row r="810" spans="2:3" ht="15" customHeight="1" x14ac:dyDescent="0.2">
      <c r="B810" s="297" t="s">
        <v>4066</v>
      </c>
      <c r="C810" s="298">
        <v>29</v>
      </c>
    </row>
    <row r="811" spans="2:3" ht="15" customHeight="1" x14ac:dyDescent="0.2">
      <c r="B811" s="297" t="s">
        <v>4064</v>
      </c>
      <c r="C811" s="298">
        <v>38</v>
      </c>
    </row>
    <row r="812" spans="2:3" ht="15" customHeight="1" x14ac:dyDescent="0.2">
      <c r="B812" s="297" t="s">
        <v>4067</v>
      </c>
      <c r="C812" s="298">
        <v>12</v>
      </c>
    </row>
    <row r="813" spans="2:3" ht="15" customHeight="1" x14ac:dyDescent="0.2">
      <c r="B813" s="297" t="s">
        <v>4068</v>
      </c>
      <c r="C813" s="298">
        <v>27</v>
      </c>
    </row>
    <row r="814" spans="2:3" ht="15" customHeight="1" x14ac:dyDescent="0.2">
      <c r="B814" s="297" t="s">
        <v>4069</v>
      </c>
      <c r="C814" s="298">
        <v>5</v>
      </c>
    </row>
    <row r="815" spans="2:3" ht="15" customHeight="1" x14ac:dyDescent="0.2">
      <c r="B815" s="297" t="s">
        <v>4070</v>
      </c>
      <c r="C815" s="298">
        <v>5</v>
      </c>
    </row>
    <row r="816" spans="2:3" ht="15" customHeight="1" x14ac:dyDescent="0.2">
      <c r="B816" s="297" t="s">
        <v>4071</v>
      </c>
      <c r="C816" s="298">
        <v>4</v>
      </c>
    </row>
    <row r="817" spans="2:3" ht="15" customHeight="1" x14ac:dyDescent="0.2">
      <c r="B817" s="297" t="s">
        <v>4072</v>
      </c>
      <c r="C817" s="298">
        <v>1</v>
      </c>
    </row>
    <row r="818" spans="2:3" ht="15" customHeight="1" x14ac:dyDescent="0.2">
      <c r="B818" s="297" t="s">
        <v>4073</v>
      </c>
      <c r="C818" s="298">
        <v>1</v>
      </c>
    </row>
    <row r="819" spans="2:3" ht="15" customHeight="1" x14ac:dyDescent="0.2">
      <c r="B819" s="297" t="s">
        <v>4074</v>
      </c>
      <c r="C819" s="298">
        <v>5</v>
      </c>
    </row>
    <row r="820" spans="2:3" ht="15" customHeight="1" x14ac:dyDescent="0.2">
      <c r="B820" s="297" t="s">
        <v>4075</v>
      </c>
      <c r="C820" s="298">
        <v>17</v>
      </c>
    </row>
    <row r="821" spans="2:3" ht="15" customHeight="1" x14ac:dyDescent="0.2">
      <c r="B821" s="297" t="s">
        <v>4076</v>
      </c>
      <c r="C821" s="298">
        <v>45</v>
      </c>
    </row>
    <row r="822" spans="2:3" ht="15" customHeight="1" x14ac:dyDescent="0.2">
      <c r="B822" s="297" t="s">
        <v>4077</v>
      </c>
      <c r="C822" s="298">
        <v>9</v>
      </c>
    </row>
    <row r="823" spans="2:3" ht="15" customHeight="1" x14ac:dyDescent="0.2">
      <c r="B823" s="297" t="s">
        <v>4078</v>
      </c>
      <c r="C823" s="298">
        <v>57</v>
      </c>
    </row>
    <row r="824" spans="2:3" ht="15" customHeight="1" x14ac:dyDescent="0.2">
      <c r="B824" s="297" t="s">
        <v>4079</v>
      </c>
      <c r="C824" s="298">
        <v>46</v>
      </c>
    </row>
    <row r="825" spans="2:3" ht="15" customHeight="1" x14ac:dyDescent="0.2">
      <c r="B825" s="297" t="s">
        <v>4080</v>
      </c>
      <c r="C825" s="298">
        <v>4</v>
      </c>
    </row>
    <row r="826" spans="2:3" ht="15" customHeight="1" x14ac:dyDescent="0.2">
      <c r="B826" s="297" t="s">
        <v>4081</v>
      </c>
      <c r="C826" s="298">
        <v>30</v>
      </c>
    </row>
    <row r="827" spans="2:3" ht="15" customHeight="1" x14ac:dyDescent="0.2">
      <c r="B827" s="297" t="s">
        <v>4082</v>
      </c>
      <c r="C827" s="298">
        <v>20</v>
      </c>
    </row>
    <row r="828" spans="2:3" ht="15" customHeight="1" x14ac:dyDescent="0.2">
      <c r="B828" s="297" t="s">
        <v>4083</v>
      </c>
      <c r="C828" s="298">
        <v>10</v>
      </c>
    </row>
    <row r="829" spans="2:3" ht="15" customHeight="1" x14ac:dyDescent="0.2">
      <c r="B829" s="297" t="s">
        <v>4084</v>
      </c>
      <c r="C829" s="298">
        <v>1</v>
      </c>
    </row>
    <row r="830" spans="2:3" ht="15" customHeight="1" x14ac:dyDescent="0.2">
      <c r="B830" s="297" t="s">
        <v>4085</v>
      </c>
      <c r="C830" s="298">
        <v>2</v>
      </c>
    </row>
    <row r="831" spans="2:3" ht="15" customHeight="1" x14ac:dyDescent="0.2">
      <c r="B831" s="297" t="s">
        <v>4086</v>
      </c>
      <c r="C831" s="298">
        <v>32</v>
      </c>
    </row>
    <row r="832" spans="2:3" ht="15" customHeight="1" x14ac:dyDescent="0.2">
      <c r="B832" s="297" t="s">
        <v>4087</v>
      </c>
      <c r="C832" s="298">
        <v>4</v>
      </c>
    </row>
    <row r="833" spans="2:3" ht="15" customHeight="1" x14ac:dyDescent="0.2">
      <c r="B833" s="297" t="s">
        <v>4088</v>
      </c>
      <c r="C833" s="298">
        <v>3</v>
      </c>
    </row>
    <row r="834" spans="2:3" ht="15" customHeight="1" x14ac:dyDescent="0.2">
      <c r="B834" s="297" t="s">
        <v>4089</v>
      </c>
      <c r="C834" s="298">
        <v>1</v>
      </c>
    </row>
    <row r="835" spans="2:3" ht="15" customHeight="1" x14ac:dyDescent="0.2">
      <c r="B835" s="297" t="s">
        <v>4090</v>
      </c>
      <c r="C835" s="298">
        <v>17</v>
      </c>
    </row>
    <row r="836" spans="2:3" ht="15" customHeight="1" x14ac:dyDescent="0.2">
      <c r="B836" s="297" t="s">
        <v>4091</v>
      </c>
      <c r="C836" s="298">
        <v>3</v>
      </c>
    </row>
    <row r="837" spans="2:3" ht="15" customHeight="1" x14ac:dyDescent="0.2">
      <c r="B837" s="297" t="s">
        <v>4092</v>
      </c>
      <c r="C837" s="298">
        <v>52</v>
      </c>
    </row>
    <row r="838" spans="2:3" ht="15" customHeight="1" x14ac:dyDescent="0.2">
      <c r="B838" s="297" t="s">
        <v>4093</v>
      </c>
      <c r="C838" s="298">
        <v>30</v>
      </c>
    </row>
    <row r="839" spans="2:3" ht="15" customHeight="1" x14ac:dyDescent="0.2">
      <c r="B839" s="297" t="s">
        <v>4094</v>
      </c>
      <c r="C839" s="298">
        <v>10</v>
      </c>
    </row>
    <row r="840" spans="2:3" ht="15" customHeight="1" x14ac:dyDescent="0.2">
      <c r="B840" s="297" t="s">
        <v>4095</v>
      </c>
      <c r="C840" s="298">
        <v>1</v>
      </c>
    </row>
    <row r="841" spans="2:3" ht="15" customHeight="1" x14ac:dyDescent="0.2">
      <c r="B841" s="297" t="s">
        <v>4096</v>
      </c>
      <c r="C841" s="298">
        <v>31</v>
      </c>
    </row>
    <row r="842" spans="2:3" ht="15" customHeight="1" x14ac:dyDescent="0.2">
      <c r="B842" s="297" t="s">
        <v>4097</v>
      </c>
      <c r="C842" s="298">
        <v>1</v>
      </c>
    </row>
    <row r="843" spans="2:3" ht="15" customHeight="1" x14ac:dyDescent="0.2">
      <c r="B843" s="297" t="s">
        <v>4098</v>
      </c>
      <c r="C843" s="298">
        <v>69</v>
      </c>
    </row>
    <row r="844" spans="2:3" ht="15" customHeight="1" x14ac:dyDescent="0.2">
      <c r="B844" s="297" t="s">
        <v>4099</v>
      </c>
      <c r="C844" s="298">
        <v>51</v>
      </c>
    </row>
    <row r="845" spans="2:3" ht="15" customHeight="1" x14ac:dyDescent="0.2">
      <c r="B845" s="297" t="s">
        <v>4100</v>
      </c>
      <c r="C845" s="298">
        <v>-11</v>
      </c>
    </row>
    <row r="846" spans="2:3" ht="15" customHeight="1" x14ac:dyDescent="0.2">
      <c r="B846" s="297" t="s">
        <v>4101</v>
      </c>
      <c r="C846" s="298">
        <v>29</v>
      </c>
    </row>
    <row r="847" spans="2:3" ht="15" customHeight="1" x14ac:dyDescent="0.2">
      <c r="B847" s="297" t="s">
        <v>4102</v>
      </c>
      <c r="C847" s="298">
        <v>36</v>
      </c>
    </row>
    <row r="848" spans="2:3" ht="15" customHeight="1" x14ac:dyDescent="0.2">
      <c r="B848" s="297" t="s">
        <v>4103</v>
      </c>
      <c r="C848" s="298">
        <v>4</v>
      </c>
    </row>
    <row r="849" spans="2:3" ht="15" customHeight="1" x14ac:dyDescent="0.2">
      <c r="B849" s="297" t="s">
        <v>4104</v>
      </c>
      <c r="C849" s="298">
        <v>5</v>
      </c>
    </row>
    <row r="850" spans="2:3" ht="15" customHeight="1" x14ac:dyDescent="0.2">
      <c r="B850" s="297" t="s">
        <v>4105</v>
      </c>
      <c r="C850" s="298">
        <v>3</v>
      </c>
    </row>
    <row r="851" spans="2:3" ht="15" customHeight="1" x14ac:dyDescent="0.2">
      <c r="B851" s="297" t="s">
        <v>4106</v>
      </c>
      <c r="C851" s="298">
        <v>20</v>
      </c>
    </row>
    <row r="852" spans="2:3" ht="15" customHeight="1" x14ac:dyDescent="0.2">
      <c r="B852" s="297" t="s">
        <v>4107</v>
      </c>
      <c r="C852" s="298">
        <v>39</v>
      </c>
    </row>
    <row r="853" spans="2:3" ht="15" customHeight="1" x14ac:dyDescent="0.2">
      <c r="B853" s="297" t="s">
        <v>4108</v>
      </c>
      <c r="C853" s="298">
        <v>3</v>
      </c>
    </row>
    <row r="854" spans="2:3" ht="15" customHeight="1" x14ac:dyDescent="0.2">
      <c r="B854" s="297" t="s">
        <v>4109</v>
      </c>
      <c r="C854" s="298">
        <v>28</v>
      </c>
    </row>
    <row r="855" spans="2:3" ht="15" customHeight="1" x14ac:dyDescent="0.2">
      <c r="B855" s="297" t="s">
        <v>4110</v>
      </c>
      <c r="C855" s="298">
        <v>1</v>
      </c>
    </row>
    <row r="856" spans="2:3" ht="15" customHeight="1" x14ac:dyDescent="0.2">
      <c r="B856" s="297" t="s">
        <v>4111</v>
      </c>
      <c r="C856" s="298">
        <v>7</v>
      </c>
    </row>
    <row r="857" spans="2:3" ht="15" customHeight="1" x14ac:dyDescent="0.2">
      <c r="B857" s="297" t="s">
        <v>4112</v>
      </c>
      <c r="C857" s="298">
        <v>3</v>
      </c>
    </row>
    <row r="858" spans="2:3" ht="15" customHeight="1" x14ac:dyDescent="0.2">
      <c r="B858" s="297" t="s">
        <v>4113</v>
      </c>
      <c r="C858" s="298">
        <v>28</v>
      </c>
    </row>
    <row r="859" spans="2:3" ht="15" customHeight="1" x14ac:dyDescent="0.2">
      <c r="B859" s="297" t="s">
        <v>4114</v>
      </c>
      <c r="C859" s="298">
        <v>43</v>
      </c>
    </row>
    <row r="860" spans="2:3" ht="15" customHeight="1" x14ac:dyDescent="0.2">
      <c r="B860" s="297" t="s">
        <v>4722</v>
      </c>
      <c r="C860" s="298">
        <v>2</v>
      </c>
    </row>
    <row r="861" spans="2:3" ht="15" customHeight="1" x14ac:dyDescent="0.2">
      <c r="B861" s="297" t="s">
        <v>4115</v>
      </c>
      <c r="C861" s="298">
        <v>1</v>
      </c>
    </row>
    <row r="862" spans="2:3" ht="15" customHeight="1" x14ac:dyDescent="0.2">
      <c r="B862" s="297" t="s">
        <v>4724</v>
      </c>
      <c r="C862" s="298">
        <v>21</v>
      </c>
    </row>
    <row r="863" spans="2:3" ht="15" customHeight="1" x14ac:dyDescent="0.2">
      <c r="B863" s="297" t="s">
        <v>4723</v>
      </c>
      <c r="C863" s="298">
        <v>20</v>
      </c>
    </row>
    <row r="864" spans="2:3" ht="15" customHeight="1" x14ac:dyDescent="0.2">
      <c r="B864" s="297" t="s">
        <v>4116</v>
      </c>
      <c r="C864" s="298">
        <v>93</v>
      </c>
    </row>
    <row r="865" spans="2:3" ht="15" customHeight="1" x14ac:dyDescent="0.2">
      <c r="B865" s="297" t="s">
        <v>4117</v>
      </c>
      <c r="C865" s="298">
        <v>1</v>
      </c>
    </row>
    <row r="866" spans="2:3" ht="15" customHeight="1" x14ac:dyDescent="0.2">
      <c r="B866" s="297" t="s">
        <v>4118</v>
      </c>
      <c r="C866" s="298">
        <v>1</v>
      </c>
    </row>
    <row r="867" spans="2:3" ht="15" customHeight="1" x14ac:dyDescent="0.2">
      <c r="B867" s="297" t="s">
        <v>4119</v>
      </c>
      <c r="C867" s="298">
        <v>9</v>
      </c>
    </row>
    <row r="868" spans="2:3" ht="15" customHeight="1" x14ac:dyDescent="0.2">
      <c r="B868" s="297" t="s">
        <v>4725</v>
      </c>
      <c r="C868" s="298">
        <v>29</v>
      </c>
    </row>
    <row r="869" spans="2:3" ht="15" customHeight="1" x14ac:dyDescent="0.2">
      <c r="B869" s="297" t="s">
        <v>4120</v>
      </c>
      <c r="C869" s="298">
        <v>5</v>
      </c>
    </row>
    <row r="870" spans="2:3" ht="15" customHeight="1" x14ac:dyDescent="0.2">
      <c r="B870" s="297" t="s">
        <v>4726</v>
      </c>
      <c r="C870" s="298">
        <v>18</v>
      </c>
    </row>
    <row r="871" spans="2:3" ht="15" customHeight="1" x14ac:dyDescent="0.2">
      <c r="B871" s="297" t="s">
        <v>4727</v>
      </c>
      <c r="C871" s="298">
        <v>14</v>
      </c>
    </row>
    <row r="872" spans="2:3" ht="15" customHeight="1" x14ac:dyDescent="0.2">
      <c r="B872" s="297" t="s">
        <v>4728</v>
      </c>
      <c r="C872" s="298">
        <v>30</v>
      </c>
    </row>
    <row r="873" spans="2:3" ht="15" customHeight="1" x14ac:dyDescent="0.2">
      <c r="B873" s="297" t="s">
        <v>4729</v>
      </c>
      <c r="C873" s="298">
        <v>13</v>
      </c>
    </row>
    <row r="874" spans="2:3" ht="15" customHeight="1" x14ac:dyDescent="0.2">
      <c r="B874" s="297" t="s">
        <v>4730</v>
      </c>
      <c r="C874" s="298">
        <v>38</v>
      </c>
    </row>
    <row r="875" spans="2:3" ht="15" customHeight="1" x14ac:dyDescent="0.2">
      <c r="B875" s="297" t="s">
        <v>4732</v>
      </c>
      <c r="C875" s="298">
        <v>18</v>
      </c>
    </row>
    <row r="876" spans="2:3" ht="15" customHeight="1" x14ac:dyDescent="0.2">
      <c r="B876" s="297" t="s">
        <v>4731</v>
      </c>
      <c r="C876" s="298">
        <v>23</v>
      </c>
    </row>
    <row r="877" spans="2:3" ht="15" customHeight="1" x14ac:dyDescent="0.2">
      <c r="B877" s="297" t="s">
        <v>4733</v>
      </c>
      <c r="C877" s="298">
        <v>6</v>
      </c>
    </row>
    <row r="878" spans="2:3" ht="15" customHeight="1" x14ac:dyDescent="0.2">
      <c r="B878" s="297" t="s">
        <v>4733</v>
      </c>
      <c r="C878" s="298">
        <v>7</v>
      </c>
    </row>
    <row r="879" spans="2:3" ht="15" customHeight="1" x14ac:dyDescent="0.2">
      <c r="B879" s="297" t="s">
        <v>4121</v>
      </c>
      <c r="C879" s="298">
        <v>5</v>
      </c>
    </row>
    <row r="880" spans="2:3" ht="15" customHeight="1" x14ac:dyDescent="0.2">
      <c r="B880" s="297" t="s">
        <v>4734</v>
      </c>
      <c r="C880" s="298">
        <v>20</v>
      </c>
    </row>
    <row r="881" spans="2:3" ht="15" customHeight="1" x14ac:dyDescent="0.2">
      <c r="B881" s="297" t="s">
        <v>4736</v>
      </c>
      <c r="C881" s="298">
        <v>18</v>
      </c>
    </row>
    <row r="882" spans="2:3" ht="15" customHeight="1" x14ac:dyDescent="0.2">
      <c r="B882" s="297" t="s">
        <v>4735</v>
      </c>
      <c r="C882" s="298">
        <v>38</v>
      </c>
    </row>
    <row r="883" spans="2:3" ht="15" customHeight="1" x14ac:dyDescent="0.2">
      <c r="B883" s="297" t="s">
        <v>4738</v>
      </c>
      <c r="C883" s="298">
        <v>22</v>
      </c>
    </row>
    <row r="884" spans="2:3" ht="15" customHeight="1" x14ac:dyDescent="0.2">
      <c r="B884" s="297" t="s">
        <v>4737</v>
      </c>
      <c r="C884" s="298">
        <v>31</v>
      </c>
    </row>
    <row r="885" spans="2:3" ht="15" customHeight="1" x14ac:dyDescent="0.2">
      <c r="B885" s="297" t="s">
        <v>4740</v>
      </c>
      <c r="C885" s="298">
        <v>23</v>
      </c>
    </row>
    <row r="886" spans="2:3" ht="15" customHeight="1" x14ac:dyDescent="0.2">
      <c r="B886" s="297" t="s">
        <v>4739</v>
      </c>
      <c r="C886" s="298">
        <v>53</v>
      </c>
    </row>
    <row r="887" spans="2:3" ht="15" customHeight="1" x14ac:dyDescent="0.2">
      <c r="B887" s="297" t="s">
        <v>4122</v>
      </c>
      <c r="C887" s="298">
        <v>22</v>
      </c>
    </row>
    <row r="888" spans="2:3" ht="15" customHeight="1" x14ac:dyDescent="0.2">
      <c r="B888" s="297" t="s">
        <v>4741</v>
      </c>
      <c r="C888" s="298">
        <v>3</v>
      </c>
    </row>
    <row r="889" spans="2:3" ht="15" customHeight="1" x14ac:dyDescent="0.2">
      <c r="B889" s="297" t="s">
        <v>4742</v>
      </c>
      <c r="C889" s="298">
        <v>52</v>
      </c>
    </row>
    <row r="890" spans="2:3" ht="15" customHeight="1" x14ac:dyDescent="0.2">
      <c r="B890" s="297" t="s">
        <v>4123</v>
      </c>
      <c r="C890" s="298">
        <v>11</v>
      </c>
    </row>
    <row r="891" spans="2:3" ht="15" customHeight="1" x14ac:dyDescent="0.2">
      <c r="B891" s="297" t="s">
        <v>4124</v>
      </c>
      <c r="C891" s="298">
        <v>8</v>
      </c>
    </row>
    <row r="892" spans="2:3" ht="15" customHeight="1" x14ac:dyDescent="0.2">
      <c r="B892" s="297" t="s">
        <v>4125</v>
      </c>
      <c r="C892" s="298">
        <v>2</v>
      </c>
    </row>
    <row r="893" spans="2:3" ht="15" customHeight="1" x14ac:dyDescent="0.2">
      <c r="B893" s="297" t="s">
        <v>4744</v>
      </c>
      <c r="C893" s="298">
        <v>42</v>
      </c>
    </row>
    <row r="894" spans="2:3" ht="15" customHeight="1" x14ac:dyDescent="0.2">
      <c r="B894" s="297" t="s">
        <v>4743</v>
      </c>
      <c r="C894" s="298">
        <v>30</v>
      </c>
    </row>
    <row r="895" spans="2:3" ht="15" customHeight="1" x14ac:dyDescent="0.2">
      <c r="B895" s="297" t="s">
        <v>4745</v>
      </c>
      <c r="C895" s="298">
        <v>18</v>
      </c>
    </row>
    <row r="896" spans="2:3" ht="15" customHeight="1" x14ac:dyDescent="0.2">
      <c r="B896" s="297" t="s">
        <v>4126</v>
      </c>
      <c r="C896" s="298">
        <v>1</v>
      </c>
    </row>
    <row r="897" spans="2:3" ht="15" customHeight="1" x14ac:dyDescent="0.2">
      <c r="B897" s="297" t="s">
        <v>4747</v>
      </c>
      <c r="C897" s="298">
        <v>25</v>
      </c>
    </row>
    <row r="898" spans="2:3" ht="15" customHeight="1" x14ac:dyDescent="0.2">
      <c r="B898" s="297" t="s">
        <v>4746</v>
      </c>
      <c r="C898" s="298">
        <v>29</v>
      </c>
    </row>
    <row r="899" spans="2:3" ht="15" customHeight="1" x14ac:dyDescent="0.2">
      <c r="B899" s="297" t="s">
        <v>4748</v>
      </c>
      <c r="C899" s="298">
        <v>18</v>
      </c>
    </row>
    <row r="900" spans="2:3" ht="15" customHeight="1" x14ac:dyDescent="0.2">
      <c r="B900" s="297" t="s">
        <v>4750</v>
      </c>
      <c r="C900" s="298">
        <v>14</v>
      </c>
    </row>
    <row r="901" spans="2:3" ht="15" customHeight="1" x14ac:dyDescent="0.2">
      <c r="B901" s="297" t="s">
        <v>4749</v>
      </c>
      <c r="C901" s="298">
        <v>32</v>
      </c>
    </row>
    <row r="902" spans="2:3" ht="15" customHeight="1" x14ac:dyDescent="0.2">
      <c r="B902" s="297" t="s">
        <v>4752</v>
      </c>
      <c r="C902" s="298">
        <v>17</v>
      </c>
    </row>
    <row r="903" spans="2:3" ht="15" customHeight="1" x14ac:dyDescent="0.2">
      <c r="B903" s="297" t="s">
        <v>4751</v>
      </c>
      <c r="C903" s="298">
        <v>20</v>
      </c>
    </row>
    <row r="904" spans="2:3" ht="15" customHeight="1" x14ac:dyDescent="0.2">
      <c r="B904" s="297" t="s">
        <v>4753</v>
      </c>
      <c r="C904" s="298">
        <v>11</v>
      </c>
    </row>
    <row r="905" spans="2:3" ht="15" customHeight="1" x14ac:dyDescent="0.2">
      <c r="B905" s="297" t="s">
        <v>4127</v>
      </c>
      <c r="C905" s="298">
        <v>1</v>
      </c>
    </row>
    <row r="906" spans="2:3" ht="15" customHeight="1" x14ac:dyDescent="0.2">
      <c r="B906" s="297" t="s">
        <v>4128</v>
      </c>
      <c r="C906" s="298">
        <v>1</v>
      </c>
    </row>
    <row r="907" spans="2:3" ht="15" customHeight="1" x14ac:dyDescent="0.2">
      <c r="B907" s="297" t="s">
        <v>4129</v>
      </c>
      <c r="C907" s="298">
        <v>1</v>
      </c>
    </row>
    <row r="908" spans="2:3" ht="15" customHeight="1" x14ac:dyDescent="0.2">
      <c r="B908" s="297" t="s">
        <v>4130</v>
      </c>
      <c r="C908" s="298">
        <v>1</v>
      </c>
    </row>
    <row r="909" spans="2:3" ht="15" customHeight="1" x14ac:dyDescent="0.2">
      <c r="B909" s="297" t="s">
        <v>4131</v>
      </c>
      <c r="C909" s="298">
        <v>1</v>
      </c>
    </row>
    <row r="910" spans="2:3" ht="15" customHeight="1" x14ac:dyDescent="0.2">
      <c r="B910" s="297" t="s">
        <v>4132</v>
      </c>
      <c r="C910" s="298">
        <v>3</v>
      </c>
    </row>
    <row r="911" spans="2:3" ht="15" customHeight="1" x14ac:dyDescent="0.2">
      <c r="B911" s="297" t="s">
        <v>4755</v>
      </c>
      <c r="C911" s="298">
        <v>11</v>
      </c>
    </row>
    <row r="912" spans="2:3" ht="15" customHeight="1" x14ac:dyDescent="0.2">
      <c r="B912" s="297" t="s">
        <v>4754</v>
      </c>
      <c r="C912" s="298">
        <v>20</v>
      </c>
    </row>
    <row r="913" spans="2:3" ht="15" customHeight="1" x14ac:dyDescent="0.2">
      <c r="B913" s="297" t="s">
        <v>4133</v>
      </c>
      <c r="C913" s="298">
        <v>1</v>
      </c>
    </row>
    <row r="914" spans="2:3" ht="15" customHeight="1" x14ac:dyDescent="0.2">
      <c r="B914" s="297" t="s">
        <v>4756</v>
      </c>
      <c r="C914" s="298">
        <v>50</v>
      </c>
    </row>
    <row r="915" spans="2:3" ht="15" customHeight="1" x14ac:dyDescent="0.2">
      <c r="B915" s="297" t="s">
        <v>4758</v>
      </c>
      <c r="C915" s="298">
        <v>2</v>
      </c>
    </row>
    <row r="916" spans="2:3" ht="15" customHeight="1" x14ac:dyDescent="0.2">
      <c r="B916" s="297" t="s">
        <v>4757</v>
      </c>
      <c r="C916" s="298">
        <v>26</v>
      </c>
    </row>
    <row r="917" spans="2:3" ht="15" customHeight="1" x14ac:dyDescent="0.2">
      <c r="B917" s="297" t="s">
        <v>4759</v>
      </c>
      <c r="C917" s="298">
        <v>30</v>
      </c>
    </row>
    <row r="918" spans="2:3" ht="15" customHeight="1" x14ac:dyDescent="0.2">
      <c r="B918" s="297" t="s">
        <v>4134</v>
      </c>
      <c r="C918" s="298">
        <v>3</v>
      </c>
    </row>
    <row r="919" spans="2:3" ht="15" customHeight="1" x14ac:dyDescent="0.2">
      <c r="B919" s="297" t="s">
        <v>4760</v>
      </c>
      <c r="C919" s="298">
        <v>13</v>
      </c>
    </row>
    <row r="920" spans="2:3" ht="15" customHeight="1" x14ac:dyDescent="0.2">
      <c r="B920" s="297" t="s">
        <v>4762</v>
      </c>
      <c r="C920" s="298">
        <v>29</v>
      </c>
    </row>
    <row r="921" spans="2:3" ht="15" customHeight="1" x14ac:dyDescent="0.2">
      <c r="B921" s="297" t="s">
        <v>4761</v>
      </c>
      <c r="C921" s="298">
        <v>50</v>
      </c>
    </row>
    <row r="922" spans="2:3" ht="15" customHeight="1" x14ac:dyDescent="0.2">
      <c r="B922" s="297" t="s">
        <v>4135</v>
      </c>
      <c r="C922" s="298">
        <v>19</v>
      </c>
    </row>
    <row r="923" spans="2:3" ht="15" customHeight="1" x14ac:dyDescent="0.2">
      <c r="B923" s="297" t="s">
        <v>4136</v>
      </c>
      <c r="C923" s="298">
        <v>1</v>
      </c>
    </row>
    <row r="924" spans="2:3" ht="15" customHeight="1" x14ac:dyDescent="0.2">
      <c r="B924" s="297" t="s">
        <v>4137</v>
      </c>
      <c r="C924" s="298">
        <v>10</v>
      </c>
    </row>
    <row r="925" spans="2:3" ht="15" customHeight="1" x14ac:dyDescent="0.2">
      <c r="B925" s="297" t="s">
        <v>4763</v>
      </c>
      <c r="C925" s="298">
        <v>18</v>
      </c>
    </row>
    <row r="926" spans="2:3" ht="15" customHeight="1" x14ac:dyDescent="0.2">
      <c r="B926" s="297" t="s">
        <v>4765</v>
      </c>
      <c r="C926" s="298">
        <v>20</v>
      </c>
    </row>
    <row r="927" spans="2:3" ht="15" customHeight="1" x14ac:dyDescent="0.2">
      <c r="B927" s="297" t="s">
        <v>4764</v>
      </c>
      <c r="C927" s="298">
        <v>20</v>
      </c>
    </row>
    <row r="928" spans="2:3" ht="15" customHeight="1" x14ac:dyDescent="0.2">
      <c r="B928" s="297" t="s">
        <v>4138</v>
      </c>
      <c r="C928" s="298">
        <v>2</v>
      </c>
    </row>
    <row r="929" spans="2:3" ht="15" customHeight="1" x14ac:dyDescent="0.2">
      <c r="B929" s="297" t="s">
        <v>4767</v>
      </c>
      <c r="C929" s="298">
        <v>23</v>
      </c>
    </row>
    <row r="930" spans="2:3" ht="15" customHeight="1" x14ac:dyDescent="0.2">
      <c r="B930" s="297" t="s">
        <v>4766</v>
      </c>
      <c r="C930" s="298">
        <v>30</v>
      </c>
    </row>
    <row r="931" spans="2:3" ht="15" customHeight="1" x14ac:dyDescent="0.2">
      <c r="B931" s="297" t="s">
        <v>4768</v>
      </c>
      <c r="C931" s="298">
        <v>15</v>
      </c>
    </row>
    <row r="932" spans="2:3" ht="15" customHeight="1" x14ac:dyDescent="0.2">
      <c r="B932" s="297" t="s">
        <v>4770</v>
      </c>
      <c r="C932" s="298">
        <v>30</v>
      </c>
    </row>
    <row r="933" spans="2:3" ht="15" customHeight="1" x14ac:dyDescent="0.2">
      <c r="B933" s="297" t="s">
        <v>4769</v>
      </c>
      <c r="C933" s="298">
        <v>22</v>
      </c>
    </row>
    <row r="934" spans="2:3" ht="15" customHeight="1" x14ac:dyDescent="0.2">
      <c r="B934" s="297" t="s">
        <v>4139</v>
      </c>
      <c r="C934" s="298">
        <v>17</v>
      </c>
    </row>
    <row r="935" spans="2:3" ht="15" customHeight="1" x14ac:dyDescent="0.2">
      <c r="B935" s="297" t="s">
        <v>4772</v>
      </c>
      <c r="C935" s="298">
        <v>2</v>
      </c>
    </row>
    <row r="936" spans="2:3" ht="15" customHeight="1" x14ac:dyDescent="0.2">
      <c r="B936" s="297" t="s">
        <v>4771</v>
      </c>
      <c r="C936" s="298">
        <v>21</v>
      </c>
    </row>
    <row r="937" spans="2:3" ht="15" customHeight="1" x14ac:dyDescent="0.2">
      <c r="B937" s="297" t="s">
        <v>4775</v>
      </c>
      <c r="C937" s="298">
        <v>17</v>
      </c>
    </row>
    <row r="938" spans="2:3" ht="15" customHeight="1" x14ac:dyDescent="0.2">
      <c r="B938" s="297" t="s">
        <v>4773</v>
      </c>
      <c r="C938" s="298">
        <v>23</v>
      </c>
    </row>
    <row r="939" spans="2:3" ht="15" customHeight="1" x14ac:dyDescent="0.2">
      <c r="B939" s="297" t="s">
        <v>4774</v>
      </c>
      <c r="C939" s="298">
        <v>13</v>
      </c>
    </row>
    <row r="940" spans="2:3" ht="15" customHeight="1" x14ac:dyDescent="0.2">
      <c r="B940" s="297" t="s">
        <v>4140</v>
      </c>
      <c r="C940" s="298">
        <v>25</v>
      </c>
    </row>
    <row r="941" spans="2:3" ht="15" customHeight="1" x14ac:dyDescent="0.2">
      <c r="B941" s="297" t="s">
        <v>4776</v>
      </c>
      <c r="C941" s="298">
        <v>1</v>
      </c>
    </row>
    <row r="942" spans="2:3" ht="15" customHeight="1" x14ac:dyDescent="0.2">
      <c r="B942" s="297" t="s">
        <v>4141</v>
      </c>
      <c r="C942" s="298">
        <v>57</v>
      </c>
    </row>
    <row r="943" spans="2:3" ht="15" customHeight="1" x14ac:dyDescent="0.2">
      <c r="B943" s="297" t="s">
        <v>4142</v>
      </c>
      <c r="C943" s="298">
        <v>10</v>
      </c>
    </row>
    <row r="944" spans="2:3" ht="15" customHeight="1" x14ac:dyDescent="0.2">
      <c r="B944" s="297" t="s">
        <v>4777</v>
      </c>
      <c r="C944" s="298">
        <v>22</v>
      </c>
    </row>
    <row r="945" spans="2:3" ht="15" customHeight="1" x14ac:dyDescent="0.2">
      <c r="B945" s="297" t="s">
        <v>4143</v>
      </c>
      <c r="C945" s="298">
        <v>1</v>
      </c>
    </row>
    <row r="946" spans="2:3" ht="15" customHeight="1" x14ac:dyDescent="0.2">
      <c r="B946" s="297" t="s">
        <v>4779</v>
      </c>
      <c r="C946" s="298">
        <v>15</v>
      </c>
    </row>
    <row r="947" spans="2:3" ht="15" customHeight="1" x14ac:dyDescent="0.2">
      <c r="B947" s="297" t="s">
        <v>4778</v>
      </c>
      <c r="C947" s="298">
        <v>36</v>
      </c>
    </row>
    <row r="948" spans="2:3" ht="15" customHeight="1" x14ac:dyDescent="0.2">
      <c r="B948" s="297" t="s">
        <v>4144</v>
      </c>
      <c r="C948" s="298">
        <v>38</v>
      </c>
    </row>
    <row r="949" spans="2:3" ht="15" customHeight="1" x14ac:dyDescent="0.2">
      <c r="B949" s="297" t="s">
        <v>4145</v>
      </c>
      <c r="C949" s="298">
        <v>42</v>
      </c>
    </row>
    <row r="950" spans="2:3" ht="15" customHeight="1" x14ac:dyDescent="0.2">
      <c r="B950" s="297" t="s">
        <v>4146</v>
      </c>
      <c r="C950" s="298">
        <v>2</v>
      </c>
    </row>
    <row r="951" spans="2:3" ht="15" customHeight="1" x14ac:dyDescent="0.2">
      <c r="B951" s="297" t="s">
        <v>4780</v>
      </c>
      <c r="C951" s="298">
        <v>5</v>
      </c>
    </row>
    <row r="952" spans="2:3" ht="15" customHeight="1" x14ac:dyDescent="0.2">
      <c r="B952" s="297" t="s">
        <v>4782</v>
      </c>
      <c r="C952" s="298">
        <v>18</v>
      </c>
    </row>
    <row r="953" spans="2:3" ht="15" customHeight="1" x14ac:dyDescent="0.2">
      <c r="B953" s="297" t="s">
        <v>4781</v>
      </c>
      <c r="C953" s="298">
        <v>18</v>
      </c>
    </row>
    <row r="954" spans="2:3" ht="15" customHeight="1" x14ac:dyDescent="0.2">
      <c r="B954" s="297" t="s">
        <v>4147</v>
      </c>
      <c r="C954" s="298">
        <v>1</v>
      </c>
    </row>
    <row r="955" spans="2:3" ht="15" customHeight="1" x14ac:dyDescent="0.2">
      <c r="B955" s="297" t="s">
        <v>4148</v>
      </c>
      <c r="C955" s="298">
        <v>8</v>
      </c>
    </row>
    <row r="956" spans="2:3" ht="15" customHeight="1" x14ac:dyDescent="0.2">
      <c r="B956" s="297" t="s">
        <v>4149</v>
      </c>
      <c r="C956" s="298">
        <v>1</v>
      </c>
    </row>
    <row r="957" spans="2:3" ht="15" customHeight="1" x14ac:dyDescent="0.2">
      <c r="B957" s="297" t="s">
        <v>4150</v>
      </c>
      <c r="C957" s="298">
        <v>1</v>
      </c>
    </row>
    <row r="958" spans="2:3" ht="15" customHeight="1" x14ac:dyDescent="0.2">
      <c r="B958" s="297" t="s">
        <v>4783</v>
      </c>
      <c r="C958" s="298">
        <v>1</v>
      </c>
    </row>
    <row r="959" spans="2:3" ht="15" customHeight="1" x14ac:dyDescent="0.2">
      <c r="B959" s="297" t="s">
        <v>4151</v>
      </c>
      <c r="C959" s="298">
        <v>20</v>
      </c>
    </row>
    <row r="960" spans="2:3" ht="15" customHeight="1" x14ac:dyDescent="0.2">
      <c r="B960" s="297" t="s">
        <v>4152</v>
      </c>
      <c r="C960" s="298">
        <v>1</v>
      </c>
    </row>
    <row r="961" spans="2:3" ht="15" customHeight="1" x14ac:dyDescent="0.2">
      <c r="B961" s="297" t="s">
        <v>4784</v>
      </c>
      <c r="C961" s="298">
        <v>9</v>
      </c>
    </row>
    <row r="962" spans="2:3" ht="15" customHeight="1" x14ac:dyDescent="0.2">
      <c r="B962" s="297" t="s">
        <v>4786</v>
      </c>
      <c r="C962" s="298">
        <v>2</v>
      </c>
    </row>
    <row r="963" spans="2:3" ht="15" customHeight="1" x14ac:dyDescent="0.2">
      <c r="B963" s="297" t="s">
        <v>4785</v>
      </c>
      <c r="C963" s="298">
        <v>8</v>
      </c>
    </row>
    <row r="964" spans="2:3" ht="15" customHeight="1" x14ac:dyDescent="0.2">
      <c r="B964" s="297" t="s">
        <v>4787</v>
      </c>
      <c r="C964" s="298">
        <v>3</v>
      </c>
    </row>
    <row r="965" spans="2:3" ht="15" customHeight="1" x14ac:dyDescent="0.2">
      <c r="B965" s="297" t="s">
        <v>4788</v>
      </c>
      <c r="C965" s="298">
        <v>54</v>
      </c>
    </row>
    <row r="966" spans="2:3" ht="15" customHeight="1" x14ac:dyDescent="0.2">
      <c r="B966" s="297" t="s">
        <v>4153</v>
      </c>
      <c r="C966" s="298">
        <v>66</v>
      </c>
    </row>
    <row r="967" spans="2:3" ht="15" customHeight="1" x14ac:dyDescent="0.2">
      <c r="B967" s="297" t="s">
        <v>4154</v>
      </c>
      <c r="C967" s="298">
        <v>3</v>
      </c>
    </row>
    <row r="968" spans="2:3" ht="15" customHeight="1" x14ac:dyDescent="0.2">
      <c r="B968" s="297" t="s">
        <v>4155</v>
      </c>
      <c r="C968" s="298">
        <v>2</v>
      </c>
    </row>
    <row r="969" spans="2:3" ht="15" customHeight="1" x14ac:dyDescent="0.2">
      <c r="B969" s="297" t="s">
        <v>4156</v>
      </c>
      <c r="C969" s="298">
        <v>1</v>
      </c>
    </row>
    <row r="970" spans="2:3" ht="15" customHeight="1" x14ac:dyDescent="0.2">
      <c r="B970" s="297" t="s">
        <v>4157</v>
      </c>
      <c r="C970" s="298">
        <v>2</v>
      </c>
    </row>
    <row r="971" spans="2:3" ht="15" customHeight="1" x14ac:dyDescent="0.2">
      <c r="B971" s="297" t="s">
        <v>4789</v>
      </c>
      <c r="C971" s="298">
        <v>8</v>
      </c>
    </row>
    <row r="972" spans="2:3" ht="15" customHeight="1" x14ac:dyDescent="0.2">
      <c r="B972" s="297" t="s">
        <v>4158</v>
      </c>
      <c r="C972" s="298">
        <v>2</v>
      </c>
    </row>
    <row r="973" spans="2:3" ht="15" customHeight="1" x14ac:dyDescent="0.2">
      <c r="B973" s="297" t="s">
        <v>4159</v>
      </c>
      <c r="C973" s="298">
        <v>11</v>
      </c>
    </row>
    <row r="974" spans="2:3" ht="15" customHeight="1" x14ac:dyDescent="0.2">
      <c r="B974" s="297" t="s">
        <v>4790</v>
      </c>
      <c r="C974" s="298">
        <v>2</v>
      </c>
    </row>
    <row r="975" spans="2:3" ht="15" customHeight="1" x14ac:dyDescent="0.2">
      <c r="B975" s="297" t="s">
        <v>4160</v>
      </c>
      <c r="C975" s="298">
        <v>1</v>
      </c>
    </row>
    <row r="976" spans="2:3" ht="15" customHeight="1" x14ac:dyDescent="0.2">
      <c r="B976" s="297" t="s">
        <v>4161</v>
      </c>
      <c r="C976" s="298">
        <v>12</v>
      </c>
    </row>
    <row r="977" spans="2:3" ht="15" customHeight="1" x14ac:dyDescent="0.2">
      <c r="B977" s="297" t="s">
        <v>4162</v>
      </c>
      <c r="C977" s="298">
        <v>1</v>
      </c>
    </row>
    <row r="978" spans="2:3" ht="15" customHeight="1" x14ac:dyDescent="0.2">
      <c r="B978" s="297" t="s">
        <v>4163</v>
      </c>
      <c r="C978" s="298">
        <v>1</v>
      </c>
    </row>
    <row r="979" spans="2:3" ht="15" customHeight="1" x14ac:dyDescent="0.2">
      <c r="B979" s="297" t="s">
        <v>4164</v>
      </c>
      <c r="C979" s="298">
        <v>1</v>
      </c>
    </row>
    <row r="980" spans="2:3" ht="15" customHeight="1" x14ac:dyDescent="0.2">
      <c r="B980" s="297" t="s">
        <v>4165</v>
      </c>
      <c r="C980" s="298">
        <v>2</v>
      </c>
    </row>
    <row r="981" spans="2:3" ht="15" customHeight="1" x14ac:dyDescent="0.2">
      <c r="B981" s="297" t="s">
        <v>4166</v>
      </c>
      <c r="C981" s="298">
        <v>3</v>
      </c>
    </row>
    <row r="982" spans="2:3" ht="15" customHeight="1" x14ac:dyDescent="0.2">
      <c r="B982" s="297" t="s">
        <v>4791</v>
      </c>
      <c r="C982" s="298">
        <v>1</v>
      </c>
    </row>
    <row r="983" spans="2:3" ht="15" customHeight="1" x14ac:dyDescent="0.2">
      <c r="B983" s="297" t="s">
        <v>4792</v>
      </c>
      <c r="C983" s="298">
        <v>2</v>
      </c>
    </row>
    <row r="984" spans="2:3" ht="15" customHeight="1" x14ac:dyDescent="0.2">
      <c r="B984" s="297" t="s">
        <v>4793</v>
      </c>
      <c r="C984" s="298">
        <v>10</v>
      </c>
    </row>
    <row r="985" spans="2:3" ht="15" customHeight="1" x14ac:dyDescent="0.2">
      <c r="B985" s="297" t="s">
        <v>4795</v>
      </c>
      <c r="C985" s="298">
        <v>2</v>
      </c>
    </row>
    <row r="986" spans="2:3" ht="15" customHeight="1" x14ac:dyDescent="0.2">
      <c r="B986" s="297" t="s">
        <v>4794</v>
      </c>
      <c r="C986" s="298">
        <v>5</v>
      </c>
    </row>
    <row r="987" spans="2:3" ht="15" customHeight="1" x14ac:dyDescent="0.2">
      <c r="B987" s="297" t="s">
        <v>4167</v>
      </c>
      <c r="C987" s="298">
        <v>7</v>
      </c>
    </row>
    <row r="988" spans="2:3" ht="15" customHeight="1" x14ac:dyDescent="0.2">
      <c r="B988" s="297" t="s">
        <v>4168</v>
      </c>
      <c r="C988" s="298">
        <v>2</v>
      </c>
    </row>
    <row r="989" spans="2:3" ht="15" customHeight="1" x14ac:dyDescent="0.2">
      <c r="B989" s="297" t="s">
        <v>4169</v>
      </c>
      <c r="C989" s="298">
        <v>2</v>
      </c>
    </row>
    <row r="990" spans="2:3" ht="15" customHeight="1" x14ac:dyDescent="0.2">
      <c r="B990" s="297" t="s">
        <v>4170</v>
      </c>
      <c r="C990" s="298">
        <v>1</v>
      </c>
    </row>
    <row r="991" spans="2:3" ht="15" customHeight="1" x14ac:dyDescent="0.2">
      <c r="B991" s="297" t="s">
        <v>4796</v>
      </c>
      <c r="C991" s="298">
        <v>6</v>
      </c>
    </row>
    <row r="992" spans="2:3" ht="15" customHeight="1" x14ac:dyDescent="0.2">
      <c r="B992" s="297" t="s">
        <v>4171</v>
      </c>
      <c r="C992" s="298">
        <v>1</v>
      </c>
    </row>
    <row r="993" spans="2:3" ht="15" customHeight="1" x14ac:dyDescent="0.2">
      <c r="B993" s="297" t="s">
        <v>4172</v>
      </c>
      <c r="C993" s="298">
        <v>5</v>
      </c>
    </row>
    <row r="994" spans="2:3" ht="15" customHeight="1" x14ac:dyDescent="0.2">
      <c r="B994" s="297" t="s">
        <v>4173</v>
      </c>
      <c r="C994" s="298">
        <v>2</v>
      </c>
    </row>
    <row r="995" spans="2:3" ht="15" customHeight="1" x14ac:dyDescent="0.2">
      <c r="B995" s="297" t="s">
        <v>4174</v>
      </c>
      <c r="C995" s="298">
        <v>1</v>
      </c>
    </row>
    <row r="996" spans="2:3" ht="15" customHeight="1" x14ac:dyDescent="0.2">
      <c r="B996" s="297" t="s">
        <v>4175</v>
      </c>
      <c r="C996" s="298">
        <v>2</v>
      </c>
    </row>
    <row r="997" spans="2:3" ht="15" customHeight="1" x14ac:dyDescent="0.2">
      <c r="B997" s="297" t="s">
        <v>4176</v>
      </c>
      <c r="C997" s="298">
        <v>1</v>
      </c>
    </row>
    <row r="998" spans="2:3" ht="15" customHeight="1" x14ac:dyDescent="0.2">
      <c r="B998" s="297" t="s">
        <v>4177</v>
      </c>
      <c r="C998" s="298">
        <v>1</v>
      </c>
    </row>
    <row r="999" spans="2:3" ht="15" customHeight="1" x14ac:dyDescent="0.2">
      <c r="B999" s="297" t="s">
        <v>4797</v>
      </c>
      <c r="C999" s="298">
        <v>4</v>
      </c>
    </row>
    <row r="1000" spans="2:3" ht="15" customHeight="1" x14ac:dyDescent="0.2">
      <c r="B1000" s="297" t="s">
        <v>4178</v>
      </c>
      <c r="C1000" s="298">
        <v>1</v>
      </c>
    </row>
    <row r="1001" spans="2:3" ht="15" customHeight="1" x14ac:dyDescent="0.2">
      <c r="B1001" s="297" t="s">
        <v>4798</v>
      </c>
      <c r="C1001" s="298">
        <v>7</v>
      </c>
    </row>
    <row r="1002" spans="2:3" ht="15" customHeight="1" x14ac:dyDescent="0.2">
      <c r="B1002" s="297" t="s">
        <v>4799</v>
      </c>
      <c r="C1002" s="298">
        <v>3</v>
      </c>
    </row>
    <row r="1003" spans="2:3" ht="15" customHeight="1" x14ac:dyDescent="0.2">
      <c r="B1003" s="297" t="s">
        <v>4179</v>
      </c>
      <c r="C1003" s="298">
        <v>1</v>
      </c>
    </row>
    <row r="1004" spans="2:3" ht="15" customHeight="1" x14ac:dyDescent="0.2">
      <c r="B1004" s="297" t="s">
        <v>4180</v>
      </c>
      <c r="C1004" s="298">
        <v>5</v>
      </c>
    </row>
    <row r="1005" spans="2:3" ht="15" customHeight="1" x14ac:dyDescent="0.2">
      <c r="B1005" s="297" t="s">
        <v>4181</v>
      </c>
      <c r="C1005" s="298">
        <v>2</v>
      </c>
    </row>
    <row r="1006" spans="2:3" ht="15" customHeight="1" x14ac:dyDescent="0.2">
      <c r="B1006" s="297" t="s">
        <v>4182</v>
      </c>
      <c r="C1006" s="298">
        <v>2</v>
      </c>
    </row>
    <row r="1007" spans="2:3" ht="15" customHeight="1" x14ac:dyDescent="0.2">
      <c r="B1007" s="297" t="s">
        <v>4183</v>
      </c>
      <c r="C1007" s="298">
        <v>3</v>
      </c>
    </row>
    <row r="1008" spans="2:3" ht="15" customHeight="1" x14ac:dyDescent="0.2">
      <c r="B1008" s="297" t="s">
        <v>4184</v>
      </c>
      <c r="C1008" s="298">
        <v>1</v>
      </c>
    </row>
    <row r="1009" spans="2:3" ht="15" customHeight="1" x14ac:dyDescent="0.2">
      <c r="B1009" s="297" t="s">
        <v>4185</v>
      </c>
      <c r="C1009" s="298">
        <v>5</v>
      </c>
    </row>
    <row r="1010" spans="2:3" ht="15" customHeight="1" x14ac:dyDescent="0.2">
      <c r="B1010" s="297" t="s">
        <v>4800</v>
      </c>
      <c r="C1010" s="298">
        <v>4</v>
      </c>
    </row>
    <row r="1011" spans="2:3" ht="15" customHeight="1" x14ac:dyDescent="0.2">
      <c r="B1011" s="297" t="s">
        <v>4801</v>
      </c>
      <c r="C1011" s="298">
        <v>2</v>
      </c>
    </row>
    <row r="1012" spans="2:3" ht="15" customHeight="1" x14ac:dyDescent="0.2">
      <c r="B1012" s="297" t="s">
        <v>4186</v>
      </c>
      <c r="C1012" s="298">
        <v>1</v>
      </c>
    </row>
    <row r="1013" spans="2:3" ht="15" customHeight="1" x14ac:dyDescent="0.2">
      <c r="B1013" s="297" t="s">
        <v>4187</v>
      </c>
      <c r="C1013" s="298">
        <v>3</v>
      </c>
    </row>
    <row r="1014" spans="2:3" ht="15" customHeight="1" x14ac:dyDescent="0.2">
      <c r="B1014" s="297" t="s">
        <v>4188</v>
      </c>
      <c r="C1014" s="298">
        <v>3</v>
      </c>
    </row>
    <row r="1015" spans="2:3" ht="15" customHeight="1" x14ac:dyDescent="0.2">
      <c r="B1015" s="297" t="s">
        <v>4189</v>
      </c>
      <c r="C1015" s="298">
        <v>1</v>
      </c>
    </row>
    <row r="1016" spans="2:3" ht="15" customHeight="1" x14ac:dyDescent="0.2">
      <c r="B1016" s="297" t="s">
        <v>4190</v>
      </c>
      <c r="C1016" s="298">
        <v>1</v>
      </c>
    </row>
    <row r="1017" spans="2:3" ht="15" customHeight="1" x14ac:dyDescent="0.2">
      <c r="B1017" s="297" t="s">
        <v>4191</v>
      </c>
      <c r="C1017" s="298">
        <v>1</v>
      </c>
    </row>
    <row r="1018" spans="2:3" ht="15" customHeight="1" x14ac:dyDescent="0.2">
      <c r="B1018" s="297" t="s">
        <v>4192</v>
      </c>
      <c r="C1018" s="298">
        <v>2</v>
      </c>
    </row>
    <row r="1019" spans="2:3" ht="15" customHeight="1" x14ac:dyDescent="0.2">
      <c r="B1019" s="297" t="s">
        <v>4193</v>
      </c>
      <c r="C1019" s="298">
        <v>2</v>
      </c>
    </row>
    <row r="1020" spans="2:3" ht="15" customHeight="1" x14ac:dyDescent="0.2">
      <c r="B1020" s="297" t="s">
        <v>4194</v>
      </c>
      <c r="C1020" s="298">
        <v>2</v>
      </c>
    </row>
    <row r="1021" spans="2:3" ht="15" customHeight="1" x14ac:dyDescent="0.2">
      <c r="B1021" s="297" t="s">
        <v>4195</v>
      </c>
      <c r="C1021" s="298">
        <v>1</v>
      </c>
    </row>
    <row r="1022" spans="2:3" ht="15" customHeight="1" x14ac:dyDescent="0.2">
      <c r="B1022" s="297" t="s">
        <v>4802</v>
      </c>
      <c r="C1022" s="298">
        <v>46</v>
      </c>
    </row>
    <row r="1023" spans="2:3" ht="15" customHeight="1" x14ac:dyDescent="0.2">
      <c r="B1023" s="297" t="s">
        <v>4804</v>
      </c>
      <c r="C1023" s="298">
        <v>18</v>
      </c>
    </row>
    <row r="1024" spans="2:3" ht="15" customHeight="1" x14ac:dyDescent="0.2">
      <c r="B1024" s="297" t="s">
        <v>4803</v>
      </c>
      <c r="C1024" s="298">
        <v>7</v>
      </c>
    </row>
    <row r="1025" spans="2:3" ht="15" customHeight="1" x14ac:dyDescent="0.2">
      <c r="B1025" s="297" t="s">
        <v>4805</v>
      </c>
      <c r="C1025" s="298">
        <v>96</v>
      </c>
    </row>
    <row r="1026" spans="2:3" ht="15" customHeight="1" x14ac:dyDescent="0.2">
      <c r="B1026" s="297" t="s">
        <v>4196</v>
      </c>
      <c r="C1026" s="298">
        <v>2</v>
      </c>
    </row>
    <row r="1027" spans="2:3" ht="15" customHeight="1" x14ac:dyDescent="0.2">
      <c r="B1027" s="297" t="s">
        <v>4806</v>
      </c>
      <c r="C1027" s="298">
        <v>51</v>
      </c>
    </row>
    <row r="1028" spans="2:3" ht="15" customHeight="1" x14ac:dyDescent="0.2">
      <c r="B1028" s="297" t="s">
        <v>4807</v>
      </c>
      <c r="C1028" s="298">
        <v>20</v>
      </c>
    </row>
    <row r="1029" spans="2:3" ht="15" customHeight="1" x14ac:dyDescent="0.2">
      <c r="B1029" s="297" t="s">
        <v>4808</v>
      </c>
      <c r="C1029" s="298">
        <v>30</v>
      </c>
    </row>
    <row r="1030" spans="2:3" ht="15" customHeight="1" x14ac:dyDescent="0.2">
      <c r="B1030" s="297" t="s">
        <v>4197</v>
      </c>
      <c r="C1030" s="298">
        <v>1</v>
      </c>
    </row>
    <row r="1031" spans="2:3" ht="15" customHeight="1" x14ac:dyDescent="0.2">
      <c r="B1031" s="297" t="s">
        <v>4810</v>
      </c>
      <c r="C1031" s="298">
        <v>75</v>
      </c>
    </row>
    <row r="1032" spans="2:3" ht="15" customHeight="1" x14ac:dyDescent="0.2">
      <c r="B1032" s="297" t="s">
        <v>4809</v>
      </c>
      <c r="C1032" s="298">
        <v>10</v>
      </c>
    </row>
    <row r="1033" spans="2:3" ht="15" customHeight="1" x14ac:dyDescent="0.2">
      <c r="B1033" s="297" t="s">
        <v>4811</v>
      </c>
      <c r="C1033" s="298">
        <v>37</v>
      </c>
    </row>
    <row r="1034" spans="2:3" ht="15" customHeight="1" x14ac:dyDescent="0.2">
      <c r="B1034" s="297" t="s">
        <v>4812</v>
      </c>
      <c r="C1034" s="298">
        <v>1</v>
      </c>
    </row>
    <row r="1035" spans="2:3" ht="15" customHeight="1" x14ac:dyDescent="0.2">
      <c r="B1035" s="297" t="s">
        <v>4813</v>
      </c>
      <c r="C1035" s="298">
        <v>-8</v>
      </c>
    </row>
    <row r="1036" spans="2:3" ht="15" customHeight="1" x14ac:dyDescent="0.2">
      <c r="B1036" s="297" t="s">
        <v>4814</v>
      </c>
      <c r="C1036" s="298">
        <v>21</v>
      </c>
    </row>
    <row r="1037" spans="2:3" ht="15" customHeight="1" x14ac:dyDescent="0.2">
      <c r="B1037" s="297" t="s">
        <v>4198</v>
      </c>
      <c r="C1037" s="298">
        <v>17</v>
      </c>
    </row>
    <row r="1038" spans="2:3" ht="15" customHeight="1" x14ac:dyDescent="0.2">
      <c r="B1038" s="297" t="s">
        <v>4815</v>
      </c>
      <c r="C1038" s="298">
        <v>20</v>
      </c>
    </row>
    <row r="1039" spans="2:3" ht="15" customHeight="1" x14ac:dyDescent="0.2">
      <c r="B1039" s="297" t="s">
        <v>4816</v>
      </c>
      <c r="C1039" s="298">
        <v>25</v>
      </c>
    </row>
    <row r="1040" spans="2:3" ht="15" customHeight="1" x14ac:dyDescent="0.2">
      <c r="B1040" s="297" t="s">
        <v>4818</v>
      </c>
      <c r="C1040" s="298">
        <v>51</v>
      </c>
    </row>
    <row r="1041" spans="2:3" ht="15" customHeight="1" x14ac:dyDescent="0.2">
      <c r="B1041" s="297" t="s">
        <v>4817</v>
      </c>
      <c r="C1041" s="298">
        <v>15</v>
      </c>
    </row>
    <row r="1042" spans="2:3" ht="15" customHeight="1" x14ac:dyDescent="0.2">
      <c r="B1042" s="297" t="s">
        <v>4819</v>
      </c>
      <c r="C1042" s="298">
        <v>1</v>
      </c>
    </row>
    <row r="1043" spans="2:3" ht="15" customHeight="1" x14ac:dyDescent="0.2">
      <c r="B1043" s="297" t="s">
        <v>4820</v>
      </c>
      <c r="C1043" s="298">
        <v>4</v>
      </c>
    </row>
    <row r="1044" spans="2:3" ht="15" customHeight="1" x14ac:dyDescent="0.2">
      <c r="B1044" s="297" t="s">
        <v>4199</v>
      </c>
      <c r="C1044" s="298">
        <v>-1</v>
      </c>
    </row>
    <row r="1045" spans="2:3" ht="15" customHeight="1" x14ac:dyDescent="0.2">
      <c r="B1045" s="297" t="s">
        <v>4821</v>
      </c>
      <c r="C1045" s="298">
        <v>10</v>
      </c>
    </row>
    <row r="1046" spans="2:3" ht="15" customHeight="1" x14ac:dyDescent="0.2">
      <c r="B1046" s="297" t="s">
        <v>4824</v>
      </c>
      <c r="C1046" s="298">
        <v>127</v>
      </c>
    </row>
    <row r="1047" spans="2:3" ht="15" customHeight="1" x14ac:dyDescent="0.2">
      <c r="B1047" s="297" t="s">
        <v>4822</v>
      </c>
      <c r="C1047" s="298">
        <v>12</v>
      </c>
    </row>
    <row r="1048" spans="2:3" ht="15" customHeight="1" x14ac:dyDescent="0.2">
      <c r="B1048" s="297" t="s">
        <v>4823</v>
      </c>
      <c r="C1048" s="298">
        <v>10</v>
      </c>
    </row>
    <row r="1049" spans="2:3" ht="15" customHeight="1" x14ac:dyDescent="0.2">
      <c r="B1049" s="297" t="s">
        <v>4826</v>
      </c>
      <c r="C1049" s="298">
        <v>29</v>
      </c>
    </row>
    <row r="1050" spans="2:3" ht="15" customHeight="1" x14ac:dyDescent="0.2">
      <c r="B1050" s="297" t="s">
        <v>4825</v>
      </c>
      <c r="C1050" s="298">
        <v>20</v>
      </c>
    </row>
    <row r="1051" spans="2:3" ht="15" customHeight="1" x14ac:dyDescent="0.2">
      <c r="B1051" s="297" t="s">
        <v>4827</v>
      </c>
      <c r="C1051" s="298">
        <v>1</v>
      </c>
    </row>
    <row r="1052" spans="2:3" ht="15" customHeight="1" x14ac:dyDescent="0.2">
      <c r="B1052" s="297" t="s">
        <v>4829</v>
      </c>
      <c r="C1052" s="298">
        <v>27</v>
      </c>
    </row>
    <row r="1053" spans="2:3" ht="15" customHeight="1" x14ac:dyDescent="0.2">
      <c r="B1053" s="297" t="s">
        <v>4828</v>
      </c>
      <c r="C1053" s="298">
        <v>20</v>
      </c>
    </row>
    <row r="1054" spans="2:3" ht="15" customHeight="1" x14ac:dyDescent="0.2">
      <c r="B1054" s="297" t="s">
        <v>4830</v>
      </c>
      <c r="C1054" s="298">
        <v>12</v>
      </c>
    </row>
    <row r="1055" spans="2:3" ht="15" customHeight="1" x14ac:dyDescent="0.2">
      <c r="B1055" s="297" t="s">
        <v>4200</v>
      </c>
      <c r="C1055" s="298">
        <v>4</v>
      </c>
    </row>
    <row r="1056" spans="2:3" ht="15" customHeight="1" x14ac:dyDescent="0.2">
      <c r="B1056" s="297" t="s">
        <v>4832</v>
      </c>
      <c r="C1056" s="298">
        <v>23</v>
      </c>
    </row>
    <row r="1057" spans="2:3" ht="15" customHeight="1" x14ac:dyDescent="0.2">
      <c r="B1057" s="297" t="s">
        <v>4831</v>
      </c>
      <c r="C1057" s="298">
        <v>57</v>
      </c>
    </row>
    <row r="1058" spans="2:3" ht="15" customHeight="1" x14ac:dyDescent="0.2">
      <c r="B1058" s="297" t="s">
        <v>4201</v>
      </c>
      <c r="C1058" s="298">
        <v>-3</v>
      </c>
    </row>
    <row r="1059" spans="2:3" ht="15" customHeight="1" x14ac:dyDescent="0.2">
      <c r="B1059" s="297" t="s">
        <v>4202</v>
      </c>
      <c r="C1059" s="298">
        <v>1</v>
      </c>
    </row>
    <row r="1060" spans="2:3" ht="15" customHeight="1" x14ac:dyDescent="0.2">
      <c r="B1060" s="297" t="s">
        <v>4833</v>
      </c>
      <c r="C1060" s="298">
        <v>50</v>
      </c>
    </row>
    <row r="1061" spans="2:3" ht="15" customHeight="1" x14ac:dyDescent="0.2">
      <c r="B1061" s="297" t="s">
        <v>4203</v>
      </c>
      <c r="C1061" s="298">
        <v>7</v>
      </c>
    </row>
    <row r="1062" spans="2:3" ht="15" customHeight="1" x14ac:dyDescent="0.2">
      <c r="B1062" s="297" t="s">
        <v>4834</v>
      </c>
      <c r="C1062" s="298">
        <v>20</v>
      </c>
    </row>
    <row r="1063" spans="2:3" ht="15" customHeight="1" x14ac:dyDescent="0.2">
      <c r="B1063" s="297" t="s">
        <v>4836</v>
      </c>
      <c r="C1063" s="298">
        <v>27</v>
      </c>
    </row>
    <row r="1064" spans="2:3" ht="15" customHeight="1" x14ac:dyDescent="0.2">
      <c r="B1064" s="297" t="s">
        <v>4835</v>
      </c>
      <c r="C1064" s="298">
        <v>14</v>
      </c>
    </row>
    <row r="1065" spans="2:3" ht="15" customHeight="1" x14ac:dyDescent="0.2">
      <c r="B1065" s="297" t="s">
        <v>4837</v>
      </c>
      <c r="C1065" s="298">
        <v>41</v>
      </c>
    </row>
    <row r="1066" spans="2:3" ht="15" customHeight="1" x14ac:dyDescent="0.2">
      <c r="B1066" s="297" t="s">
        <v>4839</v>
      </c>
      <c r="C1066" s="298">
        <v>50</v>
      </c>
    </row>
    <row r="1067" spans="2:3" ht="15" customHeight="1" x14ac:dyDescent="0.2">
      <c r="B1067" s="297" t="s">
        <v>4838</v>
      </c>
      <c r="C1067" s="298">
        <v>10</v>
      </c>
    </row>
    <row r="1068" spans="2:3" ht="15" customHeight="1" x14ac:dyDescent="0.2">
      <c r="B1068" s="297" t="s">
        <v>4841</v>
      </c>
      <c r="C1068" s="298">
        <v>2</v>
      </c>
    </row>
    <row r="1069" spans="2:3" ht="15" customHeight="1" x14ac:dyDescent="0.2">
      <c r="B1069" s="297" t="s">
        <v>4840</v>
      </c>
      <c r="C1069" s="298">
        <v>43</v>
      </c>
    </row>
    <row r="1070" spans="2:3" ht="15" customHeight="1" x14ac:dyDescent="0.2">
      <c r="B1070" s="297" t="s">
        <v>4842</v>
      </c>
      <c r="C1070" s="298">
        <v>20</v>
      </c>
    </row>
    <row r="1071" spans="2:3" ht="15" customHeight="1" x14ac:dyDescent="0.2">
      <c r="B1071" s="297" t="s">
        <v>4844</v>
      </c>
      <c r="C1071" s="298">
        <v>13</v>
      </c>
    </row>
    <row r="1072" spans="2:3" ht="15" customHeight="1" x14ac:dyDescent="0.2">
      <c r="B1072" s="297" t="s">
        <v>4843</v>
      </c>
      <c r="C1072" s="298">
        <v>9</v>
      </c>
    </row>
    <row r="1073" spans="2:3" ht="15" customHeight="1" x14ac:dyDescent="0.2">
      <c r="B1073" s="297" t="s">
        <v>4846</v>
      </c>
      <c r="C1073" s="298">
        <v>24</v>
      </c>
    </row>
    <row r="1074" spans="2:3" ht="15" customHeight="1" x14ac:dyDescent="0.2">
      <c r="B1074" s="297" t="s">
        <v>4845</v>
      </c>
      <c r="C1074" s="298">
        <v>6</v>
      </c>
    </row>
    <row r="1075" spans="2:3" ht="15" customHeight="1" x14ac:dyDescent="0.2">
      <c r="B1075" s="297" t="s">
        <v>4204</v>
      </c>
      <c r="C1075" s="298">
        <v>5</v>
      </c>
    </row>
    <row r="1076" spans="2:3" ht="15" customHeight="1" x14ac:dyDescent="0.2">
      <c r="B1076" s="297" t="s">
        <v>4848</v>
      </c>
      <c r="C1076" s="298">
        <v>3</v>
      </c>
    </row>
    <row r="1077" spans="2:3" ht="15" customHeight="1" x14ac:dyDescent="0.2">
      <c r="B1077" s="297" t="s">
        <v>4847</v>
      </c>
      <c r="C1077" s="298">
        <v>18</v>
      </c>
    </row>
    <row r="1078" spans="2:3" ht="15" customHeight="1" x14ac:dyDescent="0.2">
      <c r="B1078" s="297" t="s">
        <v>4850</v>
      </c>
      <c r="C1078" s="298">
        <v>16</v>
      </c>
    </row>
    <row r="1079" spans="2:3" ht="15" customHeight="1" x14ac:dyDescent="0.2">
      <c r="B1079" s="297" t="s">
        <v>4849</v>
      </c>
      <c r="C1079" s="298">
        <v>14</v>
      </c>
    </row>
    <row r="1080" spans="2:3" ht="15" customHeight="1" x14ac:dyDescent="0.2">
      <c r="B1080" s="297" t="s">
        <v>4851</v>
      </c>
      <c r="C1080" s="298">
        <v>4</v>
      </c>
    </row>
    <row r="1081" spans="2:3" ht="15" customHeight="1" x14ac:dyDescent="0.2">
      <c r="B1081" s="297" t="s">
        <v>4205</v>
      </c>
      <c r="C1081" s="298">
        <v>1</v>
      </c>
    </row>
    <row r="1082" spans="2:3" ht="15" customHeight="1" x14ac:dyDescent="0.2">
      <c r="B1082" s="297" t="s">
        <v>4206</v>
      </c>
      <c r="C1082" s="298">
        <v>2</v>
      </c>
    </row>
    <row r="1083" spans="2:3" ht="15" customHeight="1" x14ac:dyDescent="0.2">
      <c r="B1083" s="297" t="s">
        <v>4852</v>
      </c>
      <c r="C1083" s="298">
        <v>2</v>
      </c>
    </row>
    <row r="1084" spans="2:3" ht="15" customHeight="1" x14ac:dyDescent="0.2">
      <c r="B1084" s="297" t="s">
        <v>4853</v>
      </c>
      <c r="C1084" s="298">
        <v>3</v>
      </c>
    </row>
    <row r="1085" spans="2:3" ht="15" customHeight="1" x14ac:dyDescent="0.2">
      <c r="B1085" s="297" t="s">
        <v>4854</v>
      </c>
      <c r="C1085" s="298">
        <v>1</v>
      </c>
    </row>
    <row r="1086" spans="2:3" ht="15" customHeight="1" x14ac:dyDescent="0.2">
      <c r="B1086" s="297" t="s">
        <v>4855</v>
      </c>
      <c r="C1086" s="298">
        <v>1</v>
      </c>
    </row>
    <row r="1087" spans="2:3" ht="15" customHeight="1" x14ac:dyDescent="0.2">
      <c r="B1087" s="297" t="s">
        <v>4856</v>
      </c>
      <c r="C1087" s="298">
        <v>19</v>
      </c>
    </row>
    <row r="1088" spans="2:3" ht="15" customHeight="1" x14ac:dyDescent="0.2">
      <c r="B1088" s="297" t="s">
        <v>4207</v>
      </c>
      <c r="C1088" s="298">
        <v>4</v>
      </c>
    </row>
    <row r="1089" spans="2:3" ht="15" customHeight="1" x14ac:dyDescent="0.2">
      <c r="B1089" s="297" t="s">
        <v>4857</v>
      </c>
      <c r="C1089" s="298">
        <v>18</v>
      </c>
    </row>
    <row r="1090" spans="2:3" ht="15" customHeight="1" x14ac:dyDescent="0.2">
      <c r="B1090" s="297" t="s">
        <v>4858</v>
      </c>
      <c r="C1090" s="298">
        <v>2</v>
      </c>
    </row>
    <row r="1091" spans="2:3" ht="15" customHeight="1" x14ac:dyDescent="0.2">
      <c r="B1091" s="297" t="s">
        <v>4208</v>
      </c>
      <c r="C1091" s="298">
        <v>1</v>
      </c>
    </row>
    <row r="1092" spans="2:3" ht="15" customHeight="1" x14ac:dyDescent="0.2">
      <c r="B1092" s="297" t="s">
        <v>4859</v>
      </c>
      <c r="C1092" s="298">
        <v>18</v>
      </c>
    </row>
    <row r="1093" spans="2:3" ht="15" customHeight="1" x14ac:dyDescent="0.2">
      <c r="B1093" s="297" t="s">
        <v>4861</v>
      </c>
      <c r="C1093" s="298">
        <v>4</v>
      </c>
    </row>
    <row r="1094" spans="2:3" ht="15" customHeight="1" x14ac:dyDescent="0.2">
      <c r="B1094" s="297" t="s">
        <v>4860</v>
      </c>
      <c r="C1094" s="298">
        <v>2</v>
      </c>
    </row>
    <row r="1095" spans="2:3" ht="15" customHeight="1" x14ac:dyDescent="0.2">
      <c r="B1095" s="297" t="s">
        <v>4862</v>
      </c>
      <c r="C1095" s="298">
        <v>18</v>
      </c>
    </row>
    <row r="1096" spans="2:3" ht="15" customHeight="1" x14ac:dyDescent="0.2">
      <c r="B1096" s="297" t="s">
        <v>4863</v>
      </c>
      <c r="C1096" s="298">
        <v>1</v>
      </c>
    </row>
    <row r="1097" spans="2:3" ht="15" customHeight="1" x14ac:dyDescent="0.2">
      <c r="B1097" s="297" t="s">
        <v>4209</v>
      </c>
      <c r="C1097" s="298">
        <v>4</v>
      </c>
    </row>
    <row r="1098" spans="2:3" ht="15" customHeight="1" x14ac:dyDescent="0.2">
      <c r="B1098" s="297" t="s">
        <v>4865</v>
      </c>
      <c r="C1098" s="298">
        <v>10</v>
      </c>
    </row>
    <row r="1099" spans="2:3" ht="15" customHeight="1" x14ac:dyDescent="0.2">
      <c r="B1099" s="297" t="s">
        <v>4864</v>
      </c>
      <c r="C1099" s="298">
        <v>9</v>
      </c>
    </row>
    <row r="1100" spans="2:3" ht="15" customHeight="1" x14ac:dyDescent="0.2">
      <c r="B1100" s="297" t="s">
        <v>4867</v>
      </c>
      <c r="C1100" s="298">
        <v>5</v>
      </c>
    </row>
    <row r="1101" spans="2:3" ht="15" customHeight="1" x14ac:dyDescent="0.2">
      <c r="B1101" s="297" t="s">
        <v>4866</v>
      </c>
      <c r="C1101" s="298">
        <v>10</v>
      </c>
    </row>
    <row r="1102" spans="2:3" ht="15" customHeight="1" x14ac:dyDescent="0.2">
      <c r="B1102" s="297" t="s">
        <v>4868</v>
      </c>
      <c r="C1102" s="298">
        <v>2</v>
      </c>
    </row>
    <row r="1103" spans="2:3" ht="15" customHeight="1" x14ac:dyDescent="0.2">
      <c r="B1103" s="297" t="s">
        <v>4210</v>
      </c>
      <c r="C1103" s="298">
        <v>4</v>
      </c>
    </row>
    <row r="1104" spans="2:3" ht="15" customHeight="1" x14ac:dyDescent="0.2">
      <c r="B1104" s="297" t="s">
        <v>4870</v>
      </c>
      <c r="C1104" s="298">
        <v>18</v>
      </c>
    </row>
    <row r="1105" spans="2:3" ht="15" customHeight="1" x14ac:dyDescent="0.2">
      <c r="B1105" s="297" t="s">
        <v>4869</v>
      </c>
      <c r="C1105" s="298">
        <v>4</v>
      </c>
    </row>
    <row r="1106" spans="2:3" ht="15" customHeight="1" x14ac:dyDescent="0.2">
      <c r="B1106" s="297" t="s">
        <v>4211</v>
      </c>
      <c r="C1106" s="298">
        <v>2</v>
      </c>
    </row>
    <row r="1107" spans="2:3" ht="15" customHeight="1" x14ac:dyDescent="0.2">
      <c r="B1107" s="297" t="s">
        <v>4871</v>
      </c>
      <c r="C1107" s="298">
        <v>2</v>
      </c>
    </row>
    <row r="1108" spans="2:3" ht="15" customHeight="1" x14ac:dyDescent="0.2">
      <c r="B1108" s="297" t="s">
        <v>4873</v>
      </c>
      <c r="C1108" s="298">
        <v>20</v>
      </c>
    </row>
    <row r="1109" spans="2:3" ht="15" customHeight="1" x14ac:dyDescent="0.2">
      <c r="B1109" s="297" t="s">
        <v>4872</v>
      </c>
      <c r="C1109" s="298">
        <v>10</v>
      </c>
    </row>
    <row r="1110" spans="2:3" ht="15" customHeight="1" x14ac:dyDescent="0.2">
      <c r="B1110" s="297" t="s">
        <v>4874</v>
      </c>
      <c r="C1110" s="298">
        <v>9</v>
      </c>
    </row>
    <row r="1111" spans="2:3" ht="15" customHeight="1" x14ac:dyDescent="0.2">
      <c r="B1111" s="297" t="s">
        <v>4875</v>
      </c>
      <c r="C1111" s="298">
        <v>9</v>
      </c>
    </row>
    <row r="1112" spans="2:3" ht="15" customHeight="1" x14ac:dyDescent="0.2">
      <c r="B1112" s="297" t="s">
        <v>4876</v>
      </c>
      <c r="C1112" s="298">
        <v>40</v>
      </c>
    </row>
    <row r="1113" spans="2:3" ht="15" customHeight="1" x14ac:dyDescent="0.2">
      <c r="B1113" s="297" t="s">
        <v>4877</v>
      </c>
      <c r="C1113" s="298">
        <v>16</v>
      </c>
    </row>
    <row r="1114" spans="2:3" ht="15" customHeight="1" x14ac:dyDescent="0.2">
      <c r="B1114" s="297" t="s">
        <v>4878</v>
      </c>
      <c r="C1114" s="298">
        <v>20</v>
      </c>
    </row>
    <row r="1115" spans="2:3" ht="15" customHeight="1" x14ac:dyDescent="0.2">
      <c r="B1115" s="297" t="s">
        <v>4879</v>
      </c>
      <c r="C1115" s="298">
        <v>18</v>
      </c>
    </row>
    <row r="1116" spans="2:3" ht="15" customHeight="1" x14ac:dyDescent="0.2">
      <c r="B1116" s="297" t="s">
        <v>4880</v>
      </c>
      <c r="C1116" s="298">
        <v>39</v>
      </c>
    </row>
    <row r="1117" spans="2:3" ht="15" customHeight="1" x14ac:dyDescent="0.2">
      <c r="B1117" s="297" t="s">
        <v>4212</v>
      </c>
      <c r="C1117" s="298">
        <v>1</v>
      </c>
    </row>
    <row r="1118" spans="2:3" ht="15" customHeight="1" x14ac:dyDescent="0.2">
      <c r="B1118" s="297" t="s">
        <v>4213</v>
      </c>
      <c r="C1118" s="298">
        <v>3</v>
      </c>
    </row>
    <row r="1119" spans="2:3" ht="15" customHeight="1" x14ac:dyDescent="0.2">
      <c r="B1119" s="297" t="s">
        <v>4881</v>
      </c>
      <c r="C1119" s="298">
        <v>3</v>
      </c>
    </row>
    <row r="1120" spans="2:3" ht="15" customHeight="1" x14ac:dyDescent="0.2">
      <c r="B1120" s="297" t="s">
        <v>4882</v>
      </c>
      <c r="C1120" s="298">
        <v>2</v>
      </c>
    </row>
    <row r="1121" spans="2:3" ht="15" customHeight="1" x14ac:dyDescent="0.2">
      <c r="B1121" s="297" t="s">
        <v>4214</v>
      </c>
      <c r="C1121" s="298">
        <v>2</v>
      </c>
    </row>
    <row r="1122" spans="2:3" ht="15" customHeight="1" x14ac:dyDescent="0.2">
      <c r="B1122" s="297" t="s">
        <v>4884</v>
      </c>
      <c r="C1122" s="298">
        <v>5</v>
      </c>
    </row>
    <row r="1123" spans="2:3" ht="15" customHeight="1" x14ac:dyDescent="0.2">
      <c r="B1123" s="297" t="s">
        <v>4883</v>
      </c>
      <c r="C1123" s="298">
        <v>5</v>
      </c>
    </row>
    <row r="1124" spans="2:3" ht="15" customHeight="1" x14ac:dyDescent="0.2">
      <c r="B1124" s="297" t="s">
        <v>4886</v>
      </c>
      <c r="C1124" s="298">
        <v>8</v>
      </c>
    </row>
    <row r="1125" spans="2:3" ht="15" customHeight="1" x14ac:dyDescent="0.2">
      <c r="B1125" s="297" t="s">
        <v>4885</v>
      </c>
      <c r="C1125" s="298">
        <v>8</v>
      </c>
    </row>
    <row r="1126" spans="2:3" ht="15" customHeight="1" x14ac:dyDescent="0.2">
      <c r="B1126" s="297" t="s">
        <v>4888</v>
      </c>
      <c r="C1126" s="298">
        <v>15</v>
      </c>
    </row>
    <row r="1127" spans="2:3" ht="15" customHeight="1" x14ac:dyDescent="0.2">
      <c r="B1127" s="297" t="s">
        <v>4887</v>
      </c>
      <c r="C1127" s="298">
        <v>11</v>
      </c>
    </row>
    <row r="1128" spans="2:3" ht="15" customHeight="1" x14ac:dyDescent="0.2">
      <c r="B1128" s="297" t="s">
        <v>4889</v>
      </c>
      <c r="C1128" s="298">
        <v>6</v>
      </c>
    </row>
    <row r="1129" spans="2:3" ht="15" customHeight="1" x14ac:dyDescent="0.2">
      <c r="B1129" s="297" t="s">
        <v>4215</v>
      </c>
      <c r="C1129" s="298">
        <v>1</v>
      </c>
    </row>
    <row r="1130" spans="2:3" ht="15" customHeight="1" x14ac:dyDescent="0.2">
      <c r="B1130" s="297" t="s">
        <v>4891</v>
      </c>
      <c r="C1130" s="298">
        <v>3</v>
      </c>
    </row>
    <row r="1131" spans="2:3" ht="15" customHeight="1" x14ac:dyDescent="0.2">
      <c r="B1131" s="297" t="s">
        <v>4890</v>
      </c>
      <c r="C1131" s="298">
        <v>9</v>
      </c>
    </row>
    <row r="1132" spans="2:3" ht="15" customHeight="1" x14ac:dyDescent="0.2">
      <c r="B1132" s="297" t="s">
        <v>4892</v>
      </c>
      <c r="C1132" s="298">
        <v>10</v>
      </c>
    </row>
    <row r="1133" spans="2:3" ht="15" customHeight="1" x14ac:dyDescent="0.2">
      <c r="B1133" s="297" t="s">
        <v>4216</v>
      </c>
      <c r="C1133" s="298">
        <v>1</v>
      </c>
    </row>
    <row r="1134" spans="2:3" ht="15" customHeight="1" x14ac:dyDescent="0.2">
      <c r="B1134" s="297" t="s">
        <v>4893</v>
      </c>
      <c r="C1134" s="298">
        <v>2</v>
      </c>
    </row>
    <row r="1135" spans="2:3" ht="15" customHeight="1" x14ac:dyDescent="0.2">
      <c r="B1135" s="297" t="s">
        <v>4894</v>
      </c>
      <c r="C1135" s="298">
        <v>11</v>
      </c>
    </row>
    <row r="1136" spans="2:3" ht="15" customHeight="1" x14ac:dyDescent="0.2">
      <c r="B1136" s="297" t="s">
        <v>4895</v>
      </c>
      <c r="C1136" s="298">
        <v>5</v>
      </c>
    </row>
    <row r="1137" spans="2:3" ht="15" customHeight="1" x14ac:dyDescent="0.2">
      <c r="B1137" s="297" t="s">
        <v>4896</v>
      </c>
      <c r="C1137" s="298">
        <v>12</v>
      </c>
    </row>
    <row r="1138" spans="2:3" ht="15" customHeight="1" x14ac:dyDescent="0.2">
      <c r="B1138" s="297" t="s">
        <v>4897</v>
      </c>
      <c r="C1138" s="298">
        <v>6</v>
      </c>
    </row>
    <row r="1139" spans="2:3" ht="15" customHeight="1" x14ac:dyDescent="0.2">
      <c r="B1139" s="297" t="s">
        <v>4898</v>
      </c>
      <c r="C1139" s="298">
        <v>3</v>
      </c>
    </row>
    <row r="1140" spans="2:3" ht="15" customHeight="1" x14ac:dyDescent="0.2">
      <c r="B1140" s="297" t="s">
        <v>4899</v>
      </c>
      <c r="C1140" s="298">
        <v>4</v>
      </c>
    </row>
    <row r="1141" spans="2:3" ht="15" customHeight="1" x14ac:dyDescent="0.2">
      <c r="B1141" s="297" t="s">
        <v>4900</v>
      </c>
      <c r="C1141" s="298">
        <v>2</v>
      </c>
    </row>
    <row r="1142" spans="2:3" ht="15" customHeight="1" x14ac:dyDescent="0.2">
      <c r="B1142" s="297" t="s">
        <v>4901</v>
      </c>
      <c r="C1142" s="298">
        <v>5</v>
      </c>
    </row>
    <row r="1143" spans="2:3" ht="15" customHeight="1" x14ac:dyDescent="0.2">
      <c r="B1143" s="297" t="s">
        <v>4217</v>
      </c>
      <c r="C1143" s="298">
        <v>2</v>
      </c>
    </row>
    <row r="1144" spans="2:3" ht="15" customHeight="1" x14ac:dyDescent="0.2">
      <c r="B1144" s="297" t="s">
        <v>4902</v>
      </c>
      <c r="C1144" s="298">
        <v>2</v>
      </c>
    </row>
    <row r="1145" spans="2:3" ht="15" customHeight="1" x14ac:dyDescent="0.2">
      <c r="B1145" s="297" t="s">
        <v>4903</v>
      </c>
      <c r="C1145" s="298">
        <v>10</v>
      </c>
    </row>
    <row r="1146" spans="2:3" ht="15" customHeight="1" x14ac:dyDescent="0.2">
      <c r="B1146" s="297" t="s">
        <v>4218</v>
      </c>
      <c r="C1146" s="298">
        <v>2</v>
      </c>
    </row>
    <row r="1147" spans="2:3" ht="15" customHeight="1" x14ac:dyDescent="0.2">
      <c r="B1147" s="297" t="s">
        <v>4219</v>
      </c>
      <c r="C1147" s="298">
        <v>38</v>
      </c>
    </row>
    <row r="1148" spans="2:3" ht="15" customHeight="1" x14ac:dyDescent="0.2">
      <c r="B1148" s="297" t="s">
        <v>4905</v>
      </c>
      <c r="C1148" s="298">
        <v>2</v>
      </c>
    </row>
    <row r="1149" spans="2:3" ht="15" customHeight="1" x14ac:dyDescent="0.2">
      <c r="B1149" s="297" t="s">
        <v>4904</v>
      </c>
      <c r="C1149" s="298">
        <v>48</v>
      </c>
    </row>
    <row r="1150" spans="2:3" ht="15" customHeight="1" x14ac:dyDescent="0.2">
      <c r="B1150" s="297" t="s">
        <v>4906</v>
      </c>
      <c r="C1150" s="298">
        <v>9</v>
      </c>
    </row>
    <row r="1151" spans="2:3" ht="15" customHeight="1" x14ac:dyDescent="0.2">
      <c r="B1151" s="297" t="s">
        <v>4908</v>
      </c>
      <c r="C1151" s="298">
        <v>13</v>
      </c>
    </row>
    <row r="1152" spans="2:3" ht="15" customHeight="1" x14ac:dyDescent="0.2">
      <c r="B1152" s="297" t="s">
        <v>4907</v>
      </c>
      <c r="C1152" s="298">
        <v>5</v>
      </c>
    </row>
    <row r="1153" spans="2:3" ht="15" customHeight="1" x14ac:dyDescent="0.2">
      <c r="B1153" s="297" t="s">
        <v>4910</v>
      </c>
      <c r="C1153" s="298">
        <v>9</v>
      </c>
    </row>
    <row r="1154" spans="2:3" ht="15" customHeight="1" x14ac:dyDescent="0.2">
      <c r="B1154" s="297" t="s">
        <v>4909</v>
      </c>
      <c r="C1154" s="298">
        <v>19</v>
      </c>
    </row>
    <row r="1155" spans="2:3" ht="15" customHeight="1" x14ac:dyDescent="0.2">
      <c r="B1155" s="297" t="s">
        <v>4912</v>
      </c>
      <c r="C1155" s="298">
        <v>4</v>
      </c>
    </row>
    <row r="1156" spans="2:3" ht="15" customHeight="1" x14ac:dyDescent="0.2">
      <c r="B1156" s="297" t="s">
        <v>4911</v>
      </c>
      <c r="C1156" s="298">
        <v>27</v>
      </c>
    </row>
    <row r="1157" spans="2:3" ht="15" customHeight="1" x14ac:dyDescent="0.2">
      <c r="B1157" s="297" t="s">
        <v>4220</v>
      </c>
      <c r="C1157" s="298">
        <v>1</v>
      </c>
    </row>
    <row r="1158" spans="2:3" ht="15" customHeight="1" x14ac:dyDescent="0.2">
      <c r="B1158" s="297" t="s">
        <v>4914</v>
      </c>
      <c r="C1158" s="298">
        <v>14</v>
      </c>
    </row>
    <row r="1159" spans="2:3" ht="15" customHeight="1" x14ac:dyDescent="0.2">
      <c r="B1159" s="297" t="s">
        <v>4913</v>
      </c>
      <c r="C1159" s="298">
        <v>20</v>
      </c>
    </row>
    <row r="1160" spans="2:3" ht="15" customHeight="1" x14ac:dyDescent="0.2">
      <c r="B1160" s="297" t="s">
        <v>4915</v>
      </c>
      <c r="C1160" s="298">
        <v>7</v>
      </c>
    </row>
    <row r="1161" spans="2:3" ht="15" customHeight="1" x14ac:dyDescent="0.2">
      <c r="B1161" s="297" t="s">
        <v>4916</v>
      </c>
      <c r="C1161" s="298">
        <v>194</v>
      </c>
    </row>
    <row r="1162" spans="2:3" ht="15" customHeight="1" x14ac:dyDescent="0.2">
      <c r="B1162" s="297" t="s">
        <v>4918</v>
      </c>
      <c r="C1162" s="298">
        <v>19</v>
      </c>
    </row>
    <row r="1163" spans="2:3" ht="15" customHeight="1" x14ac:dyDescent="0.2">
      <c r="B1163" s="297" t="s">
        <v>4917</v>
      </c>
      <c r="C1163" s="298">
        <v>10</v>
      </c>
    </row>
    <row r="1164" spans="2:3" ht="15" customHeight="1" x14ac:dyDescent="0.2">
      <c r="B1164" s="297" t="s">
        <v>4221</v>
      </c>
      <c r="C1164" s="298">
        <v>2</v>
      </c>
    </row>
    <row r="1165" spans="2:3" ht="15" customHeight="1" x14ac:dyDescent="0.2">
      <c r="B1165" s="297" t="s">
        <v>4919</v>
      </c>
      <c r="C1165" s="298">
        <v>14</v>
      </c>
    </row>
    <row r="1166" spans="2:3" ht="15" customHeight="1" x14ac:dyDescent="0.2">
      <c r="B1166" s="297" t="s">
        <v>4920</v>
      </c>
      <c r="C1166" s="298">
        <v>42</v>
      </c>
    </row>
    <row r="1167" spans="2:3" ht="15" customHeight="1" x14ac:dyDescent="0.2">
      <c r="B1167" s="297" t="s">
        <v>4921</v>
      </c>
      <c r="C1167" s="298">
        <v>21</v>
      </c>
    </row>
    <row r="1168" spans="2:3" ht="15" customHeight="1" x14ac:dyDescent="0.2">
      <c r="B1168" s="297" t="s">
        <v>4922</v>
      </c>
      <c r="C1168" s="298">
        <v>22</v>
      </c>
    </row>
    <row r="1169" spans="2:3" ht="15" customHeight="1" x14ac:dyDescent="0.2">
      <c r="B1169" s="297" t="s">
        <v>4923</v>
      </c>
      <c r="C1169" s="298">
        <v>43</v>
      </c>
    </row>
    <row r="1170" spans="2:3" ht="15" customHeight="1" x14ac:dyDescent="0.2">
      <c r="B1170" s="297" t="s">
        <v>4223</v>
      </c>
      <c r="C1170" s="298">
        <v>1</v>
      </c>
    </row>
    <row r="1171" spans="2:3" ht="15" customHeight="1" x14ac:dyDescent="0.2">
      <c r="B1171" s="297" t="s">
        <v>4222</v>
      </c>
      <c r="C1171" s="298">
        <v>4</v>
      </c>
    </row>
    <row r="1172" spans="2:3" ht="15" customHeight="1" x14ac:dyDescent="0.2">
      <c r="B1172" s="297" t="s">
        <v>4925</v>
      </c>
      <c r="C1172" s="298">
        <v>15</v>
      </c>
    </row>
    <row r="1173" spans="2:3" ht="15" customHeight="1" x14ac:dyDescent="0.2">
      <c r="B1173" s="297" t="s">
        <v>4924</v>
      </c>
      <c r="C1173" s="298">
        <v>7</v>
      </c>
    </row>
    <row r="1174" spans="2:3" ht="15" customHeight="1" x14ac:dyDescent="0.2">
      <c r="B1174" s="297" t="s">
        <v>4224</v>
      </c>
      <c r="C1174" s="298">
        <v>1</v>
      </c>
    </row>
    <row r="1175" spans="2:3" ht="15" customHeight="1" x14ac:dyDescent="0.2">
      <c r="B1175" s="297" t="s">
        <v>4225</v>
      </c>
      <c r="C1175" s="298">
        <v>25</v>
      </c>
    </row>
    <row r="1176" spans="2:3" ht="15" customHeight="1" x14ac:dyDescent="0.2">
      <c r="B1176" s="297" t="s">
        <v>4226</v>
      </c>
      <c r="C1176" s="298">
        <v>25</v>
      </c>
    </row>
    <row r="1177" spans="2:3" ht="15" customHeight="1" x14ac:dyDescent="0.2">
      <c r="B1177" s="297" t="s">
        <v>4227</v>
      </c>
      <c r="C1177" s="298">
        <v>48</v>
      </c>
    </row>
    <row r="1178" spans="2:3" ht="15" customHeight="1" x14ac:dyDescent="0.2">
      <c r="B1178" s="297" t="s">
        <v>4228</v>
      </c>
      <c r="C1178" s="298">
        <v>1</v>
      </c>
    </row>
    <row r="1179" spans="2:3" ht="15" customHeight="1" x14ac:dyDescent="0.2">
      <c r="B1179" s="297" t="s">
        <v>4229</v>
      </c>
      <c r="C1179" s="298">
        <v>2</v>
      </c>
    </row>
    <row r="1180" spans="2:3" ht="15" customHeight="1" x14ac:dyDescent="0.2">
      <c r="B1180" s="297" t="s">
        <v>4926</v>
      </c>
      <c r="C1180" s="298">
        <v>13</v>
      </c>
    </row>
    <row r="1181" spans="2:3" ht="15" customHeight="1" x14ac:dyDescent="0.2">
      <c r="B1181" s="297" t="s">
        <v>4230</v>
      </c>
      <c r="C1181" s="298">
        <v>1</v>
      </c>
    </row>
    <row r="1182" spans="2:3" ht="15" customHeight="1" x14ac:dyDescent="0.2">
      <c r="B1182" s="297" t="s">
        <v>4927</v>
      </c>
      <c r="C1182" s="298">
        <v>21</v>
      </c>
    </row>
    <row r="1183" spans="2:3" ht="15" customHeight="1" x14ac:dyDescent="0.2">
      <c r="B1183" s="297" t="s">
        <v>4928</v>
      </c>
      <c r="C1183" s="298">
        <v>60</v>
      </c>
    </row>
    <row r="1184" spans="2:3" ht="15" customHeight="1" x14ac:dyDescent="0.2">
      <c r="B1184" s="297" t="s">
        <v>4231</v>
      </c>
      <c r="C1184" s="298">
        <v>54</v>
      </c>
    </row>
    <row r="1185" spans="2:3" ht="15" customHeight="1" x14ac:dyDescent="0.2">
      <c r="B1185" s="297" t="s">
        <v>4232</v>
      </c>
      <c r="C1185" s="298">
        <v>1</v>
      </c>
    </row>
    <row r="1186" spans="2:3" ht="15" customHeight="1" x14ac:dyDescent="0.2">
      <c r="B1186" s="297" t="s">
        <v>4929</v>
      </c>
      <c r="C1186" s="298">
        <v>13</v>
      </c>
    </row>
    <row r="1187" spans="2:3" ht="15" customHeight="1" x14ac:dyDescent="0.2">
      <c r="B1187" s="297" t="s">
        <v>4233</v>
      </c>
      <c r="C1187" s="298">
        <v>1</v>
      </c>
    </row>
    <row r="1188" spans="2:3" ht="15" customHeight="1" x14ac:dyDescent="0.2">
      <c r="B1188" s="297" t="s">
        <v>4931</v>
      </c>
      <c r="C1188" s="298">
        <v>4</v>
      </c>
    </row>
    <row r="1189" spans="2:3" ht="15" customHeight="1" x14ac:dyDescent="0.2">
      <c r="B1189" s="297" t="s">
        <v>4234</v>
      </c>
      <c r="C1189" s="298">
        <v>1</v>
      </c>
    </row>
    <row r="1190" spans="2:3" ht="15" customHeight="1" x14ac:dyDescent="0.2">
      <c r="B1190" s="297" t="s">
        <v>4930</v>
      </c>
      <c r="C1190" s="298">
        <v>10</v>
      </c>
    </row>
    <row r="1191" spans="2:3" ht="15" customHeight="1" x14ac:dyDescent="0.2">
      <c r="B1191" s="297" t="s">
        <v>4932</v>
      </c>
      <c r="C1191" s="298">
        <v>10</v>
      </c>
    </row>
    <row r="1192" spans="2:3" ht="15" customHeight="1" x14ac:dyDescent="0.2">
      <c r="B1192" s="297" t="s">
        <v>4934</v>
      </c>
      <c r="C1192" s="298">
        <v>38</v>
      </c>
    </row>
    <row r="1193" spans="2:3" ht="15" customHeight="1" x14ac:dyDescent="0.2">
      <c r="B1193" s="297" t="s">
        <v>4933</v>
      </c>
      <c r="C1193" s="298">
        <v>15</v>
      </c>
    </row>
    <row r="1194" spans="2:3" ht="15" customHeight="1" x14ac:dyDescent="0.2">
      <c r="B1194" s="297" t="s">
        <v>4235</v>
      </c>
      <c r="C1194" s="298">
        <v>5</v>
      </c>
    </row>
    <row r="1195" spans="2:3" ht="15" customHeight="1" x14ac:dyDescent="0.2">
      <c r="B1195" s="297" t="s">
        <v>4236</v>
      </c>
      <c r="C1195" s="298">
        <v>21</v>
      </c>
    </row>
    <row r="1196" spans="2:3" ht="15" customHeight="1" x14ac:dyDescent="0.2">
      <c r="B1196" s="297" t="s">
        <v>4935</v>
      </c>
      <c r="C1196" s="298">
        <v>3</v>
      </c>
    </row>
    <row r="1197" spans="2:3" ht="15" customHeight="1" x14ac:dyDescent="0.2">
      <c r="B1197" s="297" t="s">
        <v>4237</v>
      </c>
      <c r="C1197" s="298">
        <v>4</v>
      </c>
    </row>
    <row r="1198" spans="2:3" ht="15" customHeight="1" x14ac:dyDescent="0.2">
      <c r="B1198" s="297" t="s">
        <v>4238</v>
      </c>
      <c r="C1198" s="298">
        <v>36</v>
      </c>
    </row>
    <row r="1199" spans="2:3" ht="15" customHeight="1" x14ac:dyDescent="0.2">
      <c r="B1199" s="297" t="s">
        <v>4937</v>
      </c>
      <c r="C1199" s="298">
        <v>86</v>
      </c>
    </row>
    <row r="1200" spans="2:3" ht="15" customHeight="1" x14ac:dyDescent="0.2">
      <c r="B1200" s="297" t="s">
        <v>4936</v>
      </c>
      <c r="C1200" s="298">
        <v>61</v>
      </c>
    </row>
    <row r="1201" spans="2:3" ht="15" customHeight="1" x14ac:dyDescent="0.2">
      <c r="B1201" s="297" t="s">
        <v>4239</v>
      </c>
      <c r="C1201" s="298">
        <v>2</v>
      </c>
    </row>
    <row r="1202" spans="2:3" ht="15" customHeight="1" x14ac:dyDescent="0.2">
      <c r="B1202" s="297" t="s">
        <v>4938</v>
      </c>
      <c r="C1202" s="298">
        <v>1</v>
      </c>
    </row>
    <row r="1203" spans="2:3" ht="15" customHeight="1" x14ac:dyDescent="0.2">
      <c r="B1203" s="297" t="s">
        <v>4240</v>
      </c>
      <c r="C1203" s="298">
        <v>11</v>
      </c>
    </row>
    <row r="1204" spans="2:3" ht="15" customHeight="1" x14ac:dyDescent="0.2">
      <c r="B1204" s="297" t="s">
        <v>4939</v>
      </c>
      <c r="C1204" s="298">
        <v>17</v>
      </c>
    </row>
    <row r="1205" spans="2:3" ht="15" customHeight="1" x14ac:dyDescent="0.2">
      <c r="B1205" s="297" t="s">
        <v>4241</v>
      </c>
      <c r="C1205" s="298">
        <v>8</v>
      </c>
    </row>
    <row r="1206" spans="2:3" ht="15" customHeight="1" x14ac:dyDescent="0.2">
      <c r="B1206" s="297" t="s">
        <v>4242</v>
      </c>
      <c r="C1206" s="298">
        <v>1</v>
      </c>
    </row>
    <row r="1207" spans="2:3" ht="15" customHeight="1" x14ac:dyDescent="0.2">
      <c r="B1207" s="297" t="s">
        <v>4243</v>
      </c>
      <c r="C1207" s="298">
        <v>13</v>
      </c>
    </row>
    <row r="1208" spans="2:3" ht="15" customHeight="1" x14ac:dyDescent="0.2">
      <c r="B1208" s="297" t="s">
        <v>4244</v>
      </c>
      <c r="C1208" s="298">
        <v>48</v>
      </c>
    </row>
    <row r="1209" spans="2:3" ht="15" customHeight="1" x14ac:dyDescent="0.2">
      <c r="B1209" s="297" t="s">
        <v>4245</v>
      </c>
      <c r="C1209" s="298">
        <v>1</v>
      </c>
    </row>
    <row r="1210" spans="2:3" ht="15" customHeight="1" x14ac:dyDescent="0.2">
      <c r="B1210" s="297" t="s">
        <v>4246</v>
      </c>
      <c r="C1210" s="298">
        <v>5</v>
      </c>
    </row>
    <row r="1211" spans="2:3" ht="15" customHeight="1" x14ac:dyDescent="0.2">
      <c r="B1211" s="297" t="s">
        <v>4247</v>
      </c>
      <c r="C1211" s="298">
        <v>1</v>
      </c>
    </row>
    <row r="1212" spans="2:3" ht="15" customHeight="1" x14ac:dyDescent="0.2">
      <c r="B1212" s="297" t="s">
        <v>4941</v>
      </c>
      <c r="C1212" s="298">
        <v>3</v>
      </c>
    </row>
    <row r="1213" spans="2:3" ht="15" customHeight="1" x14ac:dyDescent="0.2">
      <c r="B1213" s="297" t="s">
        <v>4940</v>
      </c>
      <c r="C1213" s="298">
        <v>25</v>
      </c>
    </row>
    <row r="1214" spans="2:3" ht="15" customHeight="1" x14ac:dyDescent="0.2">
      <c r="B1214" s="297" t="s">
        <v>4943</v>
      </c>
      <c r="C1214" s="298">
        <v>5</v>
      </c>
    </row>
    <row r="1215" spans="2:3" ht="15" customHeight="1" x14ac:dyDescent="0.2">
      <c r="B1215" s="297" t="s">
        <v>4942</v>
      </c>
      <c r="C1215" s="298">
        <v>68</v>
      </c>
    </row>
    <row r="1216" spans="2:3" ht="15" customHeight="1" x14ac:dyDescent="0.2">
      <c r="B1216" s="297" t="s">
        <v>4944</v>
      </c>
      <c r="C1216" s="298">
        <v>14</v>
      </c>
    </row>
    <row r="1217" spans="2:3" ht="15" customHeight="1" x14ac:dyDescent="0.2">
      <c r="B1217" s="297" t="s">
        <v>4945</v>
      </c>
      <c r="C1217" s="298">
        <v>9</v>
      </c>
    </row>
    <row r="1218" spans="2:3" ht="15" customHeight="1" x14ac:dyDescent="0.2">
      <c r="B1218" s="297" t="s">
        <v>4248</v>
      </c>
      <c r="C1218" s="298">
        <v>2</v>
      </c>
    </row>
    <row r="1219" spans="2:3" ht="15" customHeight="1" x14ac:dyDescent="0.2">
      <c r="B1219" s="297" t="s">
        <v>4946</v>
      </c>
      <c r="C1219" s="298">
        <v>24</v>
      </c>
    </row>
    <row r="1220" spans="2:3" ht="15" customHeight="1" x14ac:dyDescent="0.2">
      <c r="B1220" s="297" t="s">
        <v>4947</v>
      </c>
      <c r="C1220" s="298">
        <v>37</v>
      </c>
    </row>
    <row r="1221" spans="2:3" ht="15" customHeight="1" x14ac:dyDescent="0.2">
      <c r="B1221" s="297" t="s">
        <v>4249</v>
      </c>
      <c r="C1221" s="298">
        <v>12</v>
      </c>
    </row>
    <row r="1222" spans="2:3" ht="15" customHeight="1" x14ac:dyDescent="0.2">
      <c r="B1222" s="297" t="s">
        <v>4250</v>
      </c>
      <c r="C1222" s="298">
        <v>2</v>
      </c>
    </row>
    <row r="1223" spans="2:3" ht="15" customHeight="1" x14ac:dyDescent="0.2">
      <c r="B1223" s="297" t="s">
        <v>4949</v>
      </c>
      <c r="C1223" s="298">
        <v>33</v>
      </c>
    </row>
    <row r="1224" spans="2:3" ht="15" customHeight="1" x14ac:dyDescent="0.2">
      <c r="B1224" s="297" t="s">
        <v>4948</v>
      </c>
      <c r="C1224" s="298">
        <v>78</v>
      </c>
    </row>
    <row r="1225" spans="2:3" ht="15" customHeight="1" x14ac:dyDescent="0.2">
      <c r="B1225" s="297" t="s">
        <v>4252</v>
      </c>
      <c r="C1225" s="298">
        <v>1</v>
      </c>
    </row>
    <row r="1226" spans="2:3" ht="15" customHeight="1" x14ac:dyDescent="0.2">
      <c r="B1226" s="297" t="s">
        <v>4251</v>
      </c>
      <c r="C1226" s="298">
        <v>3</v>
      </c>
    </row>
    <row r="1227" spans="2:3" ht="15" customHeight="1" x14ac:dyDescent="0.2">
      <c r="B1227" s="297" t="s">
        <v>4253</v>
      </c>
      <c r="C1227" s="298">
        <v>3</v>
      </c>
    </row>
    <row r="1228" spans="2:3" ht="15" customHeight="1" x14ac:dyDescent="0.2">
      <c r="B1228" s="297" t="s">
        <v>4254</v>
      </c>
      <c r="C1228" s="298">
        <v>1</v>
      </c>
    </row>
    <row r="1229" spans="2:3" ht="15" customHeight="1" x14ac:dyDescent="0.2">
      <c r="B1229" s="297" t="s">
        <v>4951</v>
      </c>
      <c r="C1229" s="298">
        <v>20</v>
      </c>
    </row>
    <row r="1230" spans="2:3" ht="15" customHeight="1" x14ac:dyDescent="0.2">
      <c r="B1230" s="297" t="s">
        <v>4950</v>
      </c>
      <c r="C1230" s="298">
        <v>16</v>
      </c>
    </row>
    <row r="1231" spans="2:3" ht="15" customHeight="1" x14ac:dyDescent="0.2">
      <c r="B1231" s="297" t="s">
        <v>4255</v>
      </c>
      <c r="C1231" s="298">
        <v>2</v>
      </c>
    </row>
    <row r="1232" spans="2:3" ht="15" customHeight="1" x14ac:dyDescent="0.2">
      <c r="B1232" s="297" t="s">
        <v>4256</v>
      </c>
      <c r="C1232" s="298">
        <v>15</v>
      </c>
    </row>
    <row r="1233" spans="2:3" ht="15" customHeight="1" x14ac:dyDescent="0.2">
      <c r="B1233" s="297" t="s">
        <v>4257</v>
      </c>
      <c r="C1233" s="298">
        <v>13</v>
      </c>
    </row>
    <row r="1234" spans="2:3" ht="15" customHeight="1" x14ac:dyDescent="0.2">
      <c r="B1234" s="297" t="s">
        <v>4952</v>
      </c>
      <c r="C1234" s="298">
        <v>51</v>
      </c>
    </row>
    <row r="1235" spans="2:3" ht="15" customHeight="1" x14ac:dyDescent="0.2">
      <c r="B1235" s="297" t="s">
        <v>4953</v>
      </c>
      <c r="C1235" s="298">
        <v>68</v>
      </c>
    </row>
    <row r="1236" spans="2:3" ht="15" customHeight="1" x14ac:dyDescent="0.2">
      <c r="B1236" s="297" t="s">
        <v>4258</v>
      </c>
      <c r="C1236" s="298">
        <v>14</v>
      </c>
    </row>
    <row r="1237" spans="2:3" ht="15" customHeight="1" x14ac:dyDescent="0.2">
      <c r="B1237" s="297" t="s">
        <v>4259</v>
      </c>
      <c r="C1237" s="298">
        <v>1</v>
      </c>
    </row>
    <row r="1238" spans="2:3" ht="15" customHeight="1" x14ac:dyDescent="0.2">
      <c r="B1238" s="297" t="s">
        <v>4955</v>
      </c>
      <c r="C1238" s="298">
        <v>6</v>
      </c>
    </row>
    <row r="1239" spans="2:3" ht="15" customHeight="1" x14ac:dyDescent="0.2">
      <c r="B1239" s="297" t="s">
        <v>4954</v>
      </c>
      <c r="C1239" s="298">
        <v>18</v>
      </c>
    </row>
    <row r="1240" spans="2:3" ht="15" customHeight="1" x14ac:dyDescent="0.2">
      <c r="B1240" s="297" t="s">
        <v>4260</v>
      </c>
      <c r="C1240" s="298">
        <v>4</v>
      </c>
    </row>
    <row r="1241" spans="2:3" ht="15" customHeight="1" x14ac:dyDescent="0.2">
      <c r="B1241" s="297" t="s">
        <v>4261</v>
      </c>
      <c r="C1241" s="298">
        <v>14</v>
      </c>
    </row>
    <row r="1242" spans="2:3" ht="15" customHeight="1" x14ac:dyDescent="0.2">
      <c r="B1242" s="297" t="s">
        <v>4262</v>
      </c>
      <c r="C1242" s="298">
        <v>10</v>
      </c>
    </row>
    <row r="1243" spans="2:3" ht="15" customHeight="1" x14ac:dyDescent="0.2">
      <c r="B1243" s="297" t="s">
        <v>4263</v>
      </c>
      <c r="C1243" s="298">
        <v>1</v>
      </c>
    </row>
    <row r="1244" spans="2:3" ht="15" customHeight="1" x14ac:dyDescent="0.2">
      <c r="B1244" s="297" t="s">
        <v>4265</v>
      </c>
      <c r="C1244" s="298">
        <v>6</v>
      </c>
    </row>
    <row r="1245" spans="2:3" ht="15" customHeight="1" x14ac:dyDescent="0.2">
      <c r="B1245" s="297" t="s">
        <v>4264</v>
      </c>
      <c r="C1245" s="298">
        <v>1</v>
      </c>
    </row>
    <row r="1246" spans="2:3" ht="15" customHeight="1" x14ac:dyDescent="0.2">
      <c r="B1246" s="297" t="s">
        <v>4264</v>
      </c>
      <c r="C1246" s="298">
        <v>2</v>
      </c>
    </row>
    <row r="1247" spans="2:3" ht="15" customHeight="1" x14ac:dyDescent="0.2">
      <c r="B1247" s="297" t="s">
        <v>4266</v>
      </c>
      <c r="C1247" s="298">
        <v>1</v>
      </c>
    </row>
    <row r="1248" spans="2:3" ht="15" customHeight="1" x14ac:dyDescent="0.2">
      <c r="B1248" s="297" t="s">
        <v>4956</v>
      </c>
      <c r="C1248" s="298">
        <v>6</v>
      </c>
    </row>
    <row r="1249" spans="2:3" ht="15" customHeight="1" x14ac:dyDescent="0.2">
      <c r="B1249" s="297" t="s">
        <v>4267</v>
      </c>
      <c r="C1249" s="298">
        <v>1</v>
      </c>
    </row>
    <row r="1250" spans="2:3" ht="15" customHeight="1" x14ac:dyDescent="0.2">
      <c r="B1250" s="297" t="s">
        <v>4957</v>
      </c>
      <c r="C1250" s="298">
        <v>6</v>
      </c>
    </row>
    <row r="1251" spans="2:3" ht="15" customHeight="1" x14ac:dyDescent="0.2">
      <c r="B1251" s="297" t="s">
        <v>4958</v>
      </c>
      <c r="C1251" s="298">
        <v>23</v>
      </c>
    </row>
    <row r="1252" spans="2:3" ht="15" customHeight="1" x14ac:dyDescent="0.2">
      <c r="B1252" s="297" t="s">
        <v>4959</v>
      </c>
      <c r="C1252" s="298">
        <v>16</v>
      </c>
    </row>
    <row r="1253" spans="2:3" ht="15" customHeight="1" x14ac:dyDescent="0.2">
      <c r="B1253" s="297" t="s">
        <v>4961</v>
      </c>
      <c r="C1253" s="298">
        <v>3</v>
      </c>
    </row>
    <row r="1254" spans="2:3" ht="15" customHeight="1" x14ac:dyDescent="0.2">
      <c r="B1254" s="297" t="s">
        <v>4960</v>
      </c>
      <c r="C1254" s="298">
        <v>12</v>
      </c>
    </row>
    <row r="1255" spans="2:3" ht="15" customHeight="1" x14ac:dyDescent="0.2">
      <c r="B1255" s="297" t="s">
        <v>4963</v>
      </c>
      <c r="C1255" s="298">
        <v>1</v>
      </c>
    </row>
    <row r="1256" spans="2:3" ht="15" customHeight="1" x14ac:dyDescent="0.2">
      <c r="B1256" s="297" t="s">
        <v>4962</v>
      </c>
      <c r="C1256" s="298">
        <v>7</v>
      </c>
    </row>
    <row r="1257" spans="2:3" ht="15" customHeight="1" x14ac:dyDescent="0.2">
      <c r="B1257" s="297" t="s">
        <v>4965</v>
      </c>
      <c r="C1257" s="298">
        <v>22</v>
      </c>
    </row>
    <row r="1258" spans="2:3" ht="15" customHeight="1" x14ac:dyDescent="0.2">
      <c r="B1258" s="297" t="s">
        <v>4964</v>
      </c>
      <c r="C1258" s="298">
        <v>6</v>
      </c>
    </row>
    <row r="1259" spans="2:3" ht="15" customHeight="1" x14ac:dyDescent="0.2">
      <c r="B1259" s="297" t="s">
        <v>4966</v>
      </c>
      <c r="C1259" s="298">
        <v>6</v>
      </c>
    </row>
    <row r="1260" spans="2:3" ht="15" customHeight="1" x14ac:dyDescent="0.2">
      <c r="B1260" s="297" t="s">
        <v>4268</v>
      </c>
      <c r="C1260" s="298">
        <v>1</v>
      </c>
    </row>
    <row r="1261" spans="2:3" ht="15" customHeight="1" x14ac:dyDescent="0.2">
      <c r="B1261" s="297" t="s">
        <v>4967</v>
      </c>
      <c r="C1261" s="298">
        <v>5</v>
      </c>
    </row>
    <row r="1262" spans="2:3" ht="15" customHeight="1" x14ac:dyDescent="0.2">
      <c r="B1262" s="297" t="s">
        <v>4269</v>
      </c>
      <c r="C1262" s="298">
        <v>4</v>
      </c>
    </row>
    <row r="1263" spans="2:3" ht="15" customHeight="1" x14ac:dyDescent="0.2">
      <c r="B1263" s="297" t="s">
        <v>4270</v>
      </c>
      <c r="C1263" s="298">
        <v>1</v>
      </c>
    </row>
    <row r="1264" spans="2:3" ht="15" customHeight="1" x14ac:dyDescent="0.2">
      <c r="B1264" s="297" t="s">
        <v>4969</v>
      </c>
      <c r="C1264" s="298">
        <v>19</v>
      </c>
    </row>
    <row r="1265" spans="2:3" ht="15" customHeight="1" x14ac:dyDescent="0.2">
      <c r="B1265" s="297" t="s">
        <v>4968</v>
      </c>
      <c r="C1265" s="298">
        <v>23</v>
      </c>
    </row>
    <row r="1266" spans="2:3" ht="15" customHeight="1" x14ac:dyDescent="0.2">
      <c r="B1266" s="297" t="s">
        <v>4970</v>
      </c>
      <c r="C1266" s="298">
        <v>5</v>
      </c>
    </row>
    <row r="1267" spans="2:3" ht="15" customHeight="1" x14ac:dyDescent="0.2">
      <c r="B1267" s="297" t="s">
        <v>4971</v>
      </c>
      <c r="C1267" s="298">
        <v>5</v>
      </c>
    </row>
    <row r="1268" spans="2:3" ht="15" customHeight="1" x14ac:dyDescent="0.2">
      <c r="B1268" s="297" t="s">
        <v>4271</v>
      </c>
      <c r="C1268" s="298">
        <v>11</v>
      </c>
    </row>
    <row r="1269" spans="2:3" ht="15" customHeight="1" x14ac:dyDescent="0.2">
      <c r="B1269" s="297" t="s">
        <v>4972</v>
      </c>
      <c r="C1269" s="298">
        <v>9</v>
      </c>
    </row>
    <row r="1270" spans="2:3" ht="15" customHeight="1" x14ac:dyDescent="0.2">
      <c r="B1270" s="297" t="s">
        <v>4974</v>
      </c>
      <c r="C1270" s="298">
        <v>4</v>
      </c>
    </row>
    <row r="1271" spans="2:3" ht="15" customHeight="1" x14ac:dyDescent="0.2">
      <c r="B1271" s="297" t="s">
        <v>4973</v>
      </c>
      <c r="C1271" s="298">
        <v>50</v>
      </c>
    </row>
    <row r="1272" spans="2:3" ht="15" customHeight="1" x14ac:dyDescent="0.2">
      <c r="B1272" s="297" t="s">
        <v>4272</v>
      </c>
      <c r="C1272" s="298">
        <v>1</v>
      </c>
    </row>
    <row r="1273" spans="2:3" ht="15" customHeight="1" x14ac:dyDescent="0.2">
      <c r="B1273" s="297" t="s">
        <v>4975</v>
      </c>
      <c r="C1273" s="298">
        <v>4</v>
      </c>
    </row>
    <row r="1274" spans="2:3" ht="15" customHeight="1" x14ac:dyDescent="0.2">
      <c r="B1274" s="297" t="s">
        <v>4976</v>
      </c>
      <c r="C1274" s="298">
        <v>2</v>
      </c>
    </row>
    <row r="1275" spans="2:3" ht="15" customHeight="1" x14ac:dyDescent="0.2">
      <c r="B1275" s="297" t="s">
        <v>4273</v>
      </c>
      <c r="C1275" s="298">
        <v>1</v>
      </c>
    </row>
    <row r="1276" spans="2:3" ht="15" customHeight="1" x14ac:dyDescent="0.2">
      <c r="B1276" s="297" t="s">
        <v>4978</v>
      </c>
      <c r="C1276" s="298">
        <v>1</v>
      </c>
    </row>
    <row r="1277" spans="2:3" ht="15" customHeight="1" x14ac:dyDescent="0.2">
      <c r="B1277" s="297" t="s">
        <v>4977</v>
      </c>
      <c r="C1277" s="298">
        <v>30</v>
      </c>
    </row>
    <row r="1278" spans="2:3" ht="15" customHeight="1" x14ac:dyDescent="0.2">
      <c r="B1278" s="297" t="s">
        <v>4274</v>
      </c>
      <c r="C1278" s="298">
        <v>15</v>
      </c>
    </row>
    <row r="1279" spans="2:3" ht="15" customHeight="1" x14ac:dyDescent="0.2">
      <c r="B1279" s="297" t="s">
        <v>4275</v>
      </c>
      <c r="C1279" s="298">
        <v>1</v>
      </c>
    </row>
    <row r="1280" spans="2:3" ht="15" customHeight="1" x14ac:dyDescent="0.2">
      <c r="B1280" s="297" t="s">
        <v>4276</v>
      </c>
      <c r="C1280" s="298">
        <v>20</v>
      </c>
    </row>
    <row r="1281" spans="2:3" ht="15" customHeight="1" x14ac:dyDescent="0.2">
      <c r="B1281" s="297" t="s">
        <v>4277</v>
      </c>
      <c r="C1281" s="298">
        <v>18</v>
      </c>
    </row>
    <row r="1282" spans="2:3" ht="15" customHeight="1" x14ac:dyDescent="0.2">
      <c r="B1282" s="297" t="s">
        <v>4278</v>
      </c>
      <c r="C1282" s="298">
        <v>1</v>
      </c>
    </row>
    <row r="1283" spans="2:3" ht="15" customHeight="1" x14ac:dyDescent="0.2">
      <c r="B1283" s="297" t="s">
        <v>4279</v>
      </c>
      <c r="C1283" s="298">
        <v>1</v>
      </c>
    </row>
    <row r="1284" spans="2:3" ht="15" customHeight="1" x14ac:dyDescent="0.2">
      <c r="B1284" s="297" t="s">
        <v>4280</v>
      </c>
      <c r="C1284" s="298">
        <v>1</v>
      </c>
    </row>
    <row r="1285" spans="2:3" ht="15" customHeight="1" x14ac:dyDescent="0.2">
      <c r="B1285" s="297" t="s">
        <v>4980</v>
      </c>
      <c r="C1285" s="298">
        <v>8</v>
      </c>
    </row>
    <row r="1286" spans="2:3" ht="15" customHeight="1" x14ac:dyDescent="0.2">
      <c r="B1286" s="297" t="s">
        <v>4979</v>
      </c>
      <c r="C1286" s="298">
        <v>16</v>
      </c>
    </row>
    <row r="1287" spans="2:3" ht="15" customHeight="1" x14ac:dyDescent="0.2">
      <c r="B1287" s="297" t="s">
        <v>4281</v>
      </c>
      <c r="C1287" s="298">
        <v>1</v>
      </c>
    </row>
    <row r="1288" spans="2:3" ht="15" customHeight="1" x14ac:dyDescent="0.2">
      <c r="B1288" s="297" t="s">
        <v>4982</v>
      </c>
      <c r="C1288" s="298">
        <v>1</v>
      </c>
    </row>
    <row r="1289" spans="2:3" ht="15" customHeight="1" x14ac:dyDescent="0.2">
      <c r="B1289" s="297" t="s">
        <v>4981</v>
      </c>
      <c r="C1289" s="298">
        <v>21</v>
      </c>
    </row>
    <row r="1290" spans="2:3" ht="15" customHeight="1" x14ac:dyDescent="0.2">
      <c r="B1290" s="297" t="s">
        <v>4282</v>
      </c>
      <c r="C1290" s="298">
        <v>9</v>
      </c>
    </row>
    <row r="1291" spans="2:3" ht="15" customHeight="1" x14ac:dyDescent="0.2">
      <c r="B1291" s="297" t="s">
        <v>4983</v>
      </c>
      <c r="C1291" s="298">
        <v>10</v>
      </c>
    </row>
    <row r="1292" spans="2:3" ht="15" customHeight="1" x14ac:dyDescent="0.2">
      <c r="B1292" s="297" t="s">
        <v>4284</v>
      </c>
      <c r="C1292" s="298">
        <v>15</v>
      </c>
    </row>
    <row r="1293" spans="2:3" ht="15" customHeight="1" x14ac:dyDescent="0.2">
      <c r="B1293" s="297" t="s">
        <v>4283</v>
      </c>
      <c r="C1293" s="298">
        <v>2</v>
      </c>
    </row>
    <row r="1294" spans="2:3" ht="15" customHeight="1" x14ac:dyDescent="0.2">
      <c r="B1294" s="297" t="s">
        <v>4285</v>
      </c>
      <c r="C1294" s="298">
        <v>7</v>
      </c>
    </row>
    <row r="1295" spans="2:3" ht="15" customHeight="1" x14ac:dyDescent="0.2">
      <c r="B1295" s="297" t="s">
        <v>4286</v>
      </c>
      <c r="C1295" s="298">
        <v>1</v>
      </c>
    </row>
    <row r="1296" spans="2:3" ht="15" customHeight="1" x14ac:dyDescent="0.2">
      <c r="B1296" s="297" t="s">
        <v>4287</v>
      </c>
      <c r="C1296" s="298">
        <v>3</v>
      </c>
    </row>
    <row r="1297" spans="2:3" ht="15" customHeight="1" x14ac:dyDescent="0.2">
      <c r="B1297" s="297" t="s">
        <v>4288</v>
      </c>
      <c r="C1297" s="298">
        <v>1</v>
      </c>
    </row>
    <row r="1298" spans="2:3" ht="15" customHeight="1" x14ac:dyDescent="0.2">
      <c r="B1298" s="297" t="s">
        <v>4289</v>
      </c>
      <c r="C1298" s="298">
        <v>2</v>
      </c>
    </row>
    <row r="1299" spans="2:3" ht="15" customHeight="1" x14ac:dyDescent="0.2">
      <c r="B1299" s="297" t="s">
        <v>4984</v>
      </c>
      <c r="C1299" s="298">
        <v>1</v>
      </c>
    </row>
    <row r="1300" spans="2:3" ht="15" customHeight="1" x14ac:dyDescent="0.2">
      <c r="B1300" s="297" t="s">
        <v>4290</v>
      </c>
      <c r="C1300" s="298">
        <v>2</v>
      </c>
    </row>
    <row r="1301" spans="2:3" ht="15" customHeight="1" x14ac:dyDescent="0.2">
      <c r="B1301" s="297" t="s">
        <v>4985</v>
      </c>
      <c r="C1301" s="298">
        <v>1</v>
      </c>
    </row>
    <row r="1302" spans="2:3" ht="15" customHeight="1" x14ac:dyDescent="0.2">
      <c r="B1302" s="297" t="s">
        <v>4986</v>
      </c>
      <c r="C1302" s="298">
        <v>9</v>
      </c>
    </row>
    <row r="1303" spans="2:3" ht="15" customHeight="1" x14ac:dyDescent="0.2">
      <c r="B1303" s="297" t="s">
        <v>4291</v>
      </c>
      <c r="C1303" s="298">
        <v>3</v>
      </c>
    </row>
    <row r="1304" spans="2:3" ht="15" customHeight="1" x14ac:dyDescent="0.2">
      <c r="B1304" s="297" t="s">
        <v>4292</v>
      </c>
      <c r="C1304" s="298">
        <v>1</v>
      </c>
    </row>
    <row r="1305" spans="2:3" ht="15" customHeight="1" x14ac:dyDescent="0.2">
      <c r="B1305" s="297" t="s">
        <v>4987</v>
      </c>
      <c r="C1305" s="298">
        <v>3</v>
      </c>
    </row>
    <row r="1306" spans="2:3" ht="15" customHeight="1" x14ac:dyDescent="0.2">
      <c r="B1306" s="297" t="s">
        <v>4988</v>
      </c>
      <c r="C1306" s="298">
        <v>2</v>
      </c>
    </row>
    <row r="1307" spans="2:3" ht="15" customHeight="1" x14ac:dyDescent="0.2">
      <c r="B1307" s="297" t="s">
        <v>4989</v>
      </c>
      <c r="C1307" s="298">
        <v>2</v>
      </c>
    </row>
    <row r="1308" spans="2:3" ht="15" customHeight="1" x14ac:dyDescent="0.2">
      <c r="B1308" s="297" t="s">
        <v>4990</v>
      </c>
      <c r="C1308" s="298">
        <v>1</v>
      </c>
    </row>
    <row r="1309" spans="2:3" ht="15" customHeight="1" x14ac:dyDescent="0.2">
      <c r="B1309" s="297" t="s">
        <v>4991</v>
      </c>
      <c r="C1309" s="298">
        <v>25</v>
      </c>
    </row>
    <row r="1310" spans="2:3" ht="15" customHeight="1" x14ac:dyDescent="0.2">
      <c r="B1310" s="297" t="s">
        <v>4992</v>
      </c>
      <c r="C1310" s="298">
        <v>4</v>
      </c>
    </row>
    <row r="1311" spans="2:3" ht="15" customHeight="1" x14ac:dyDescent="0.2">
      <c r="B1311" s="297" t="s">
        <v>4294</v>
      </c>
      <c r="C1311" s="298">
        <v>1</v>
      </c>
    </row>
    <row r="1312" spans="2:3" ht="15" customHeight="1" x14ac:dyDescent="0.2">
      <c r="B1312" s="297" t="s">
        <v>4293</v>
      </c>
      <c r="C1312" s="298">
        <v>1</v>
      </c>
    </row>
    <row r="1313" spans="2:3" ht="15" customHeight="1" x14ac:dyDescent="0.2">
      <c r="B1313" s="297" t="s">
        <v>4993</v>
      </c>
      <c r="C1313" s="298">
        <v>7</v>
      </c>
    </row>
    <row r="1314" spans="2:3" ht="15" customHeight="1" x14ac:dyDescent="0.2">
      <c r="B1314" s="297" t="s">
        <v>4994</v>
      </c>
      <c r="C1314" s="298">
        <v>5</v>
      </c>
    </row>
    <row r="1315" spans="2:3" ht="15" customHeight="1" x14ac:dyDescent="0.2">
      <c r="B1315" s="297" t="s">
        <v>4995</v>
      </c>
      <c r="C1315" s="298">
        <v>9</v>
      </c>
    </row>
    <row r="1316" spans="2:3" ht="15" customHeight="1" x14ac:dyDescent="0.2">
      <c r="B1316" s="297" t="s">
        <v>4996</v>
      </c>
      <c r="C1316" s="298">
        <v>2</v>
      </c>
    </row>
    <row r="1317" spans="2:3" ht="15" customHeight="1" x14ac:dyDescent="0.2">
      <c r="B1317" s="297" t="s">
        <v>4997</v>
      </c>
      <c r="C1317" s="298">
        <v>4</v>
      </c>
    </row>
    <row r="1318" spans="2:3" ht="15" customHeight="1" x14ac:dyDescent="0.2">
      <c r="B1318" s="297" t="s">
        <v>4998</v>
      </c>
      <c r="C1318" s="298">
        <v>5</v>
      </c>
    </row>
    <row r="1319" spans="2:3" ht="15" customHeight="1" x14ac:dyDescent="0.2">
      <c r="B1319" s="297" t="s">
        <v>4999</v>
      </c>
      <c r="C1319" s="298">
        <v>5</v>
      </c>
    </row>
    <row r="1320" spans="2:3" ht="15" customHeight="1" x14ac:dyDescent="0.2">
      <c r="B1320" s="297" t="s">
        <v>5000</v>
      </c>
      <c r="C1320" s="298">
        <v>1</v>
      </c>
    </row>
    <row r="1321" spans="2:3" ht="15" customHeight="1" x14ac:dyDescent="0.2">
      <c r="B1321" s="297" t="s">
        <v>5001</v>
      </c>
      <c r="C1321" s="298">
        <v>2</v>
      </c>
    </row>
    <row r="1322" spans="2:3" ht="15" customHeight="1" x14ac:dyDescent="0.2">
      <c r="B1322" s="297" t="s">
        <v>5002</v>
      </c>
      <c r="C1322" s="298">
        <v>1</v>
      </c>
    </row>
    <row r="1323" spans="2:3" ht="15" customHeight="1" x14ac:dyDescent="0.2">
      <c r="B1323" s="297" t="s">
        <v>5003</v>
      </c>
      <c r="C1323" s="298">
        <v>4</v>
      </c>
    </row>
    <row r="1324" spans="2:3" ht="15" customHeight="1" x14ac:dyDescent="0.2">
      <c r="B1324" s="297" t="s">
        <v>5004</v>
      </c>
      <c r="C1324" s="298">
        <v>1</v>
      </c>
    </row>
    <row r="1325" spans="2:3" ht="15" customHeight="1" x14ac:dyDescent="0.2">
      <c r="B1325" s="297" t="s">
        <v>4295</v>
      </c>
      <c r="C1325" s="298">
        <v>1</v>
      </c>
    </row>
    <row r="1326" spans="2:3" ht="15" customHeight="1" x14ac:dyDescent="0.2">
      <c r="B1326" s="297" t="s">
        <v>5005</v>
      </c>
      <c r="C1326" s="298">
        <v>1</v>
      </c>
    </row>
    <row r="1327" spans="2:3" ht="15" customHeight="1" x14ac:dyDescent="0.2">
      <c r="B1327" s="297" t="s">
        <v>5006</v>
      </c>
      <c r="C1327" s="298">
        <v>5</v>
      </c>
    </row>
    <row r="1328" spans="2:3" ht="15" customHeight="1" x14ac:dyDescent="0.2">
      <c r="B1328" s="297" t="s">
        <v>5007</v>
      </c>
      <c r="C1328" s="298">
        <v>4</v>
      </c>
    </row>
    <row r="1329" spans="2:3" ht="15" customHeight="1" x14ac:dyDescent="0.2">
      <c r="B1329" s="297" t="s">
        <v>5008</v>
      </c>
      <c r="C1329" s="298">
        <v>5</v>
      </c>
    </row>
    <row r="1330" spans="2:3" ht="15" customHeight="1" x14ac:dyDescent="0.2">
      <c r="B1330" s="297" t="s">
        <v>5009</v>
      </c>
      <c r="C1330" s="298">
        <v>4</v>
      </c>
    </row>
    <row r="1331" spans="2:3" ht="15" customHeight="1" x14ac:dyDescent="0.2">
      <c r="B1331" s="297" t="s">
        <v>5010</v>
      </c>
      <c r="C1331" s="298">
        <v>3</v>
      </c>
    </row>
    <row r="1332" spans="2:3" ht="15" customHeight="1" x14ac:dyDescent="0.2">
      <c r="B1332" s="297" t="s">
        <v>5011</v>
      </c>
      <c r="C1332" s="298">
        <v>10</v>
      </c>
    </row>
    <row r="1333" spans="2:3" ht="15" customHeight="1" x14ac:dyDescent="0.2">
      <c r="B1333" s="297" t="s">
        <v>4296</v>
      </c>
      <c r="C1333" s="298">
        <v>1</v>
      </c>
    </row>
    <row r="1334" spans="2:3" ht="15" customHeight="1" x14ac:dyDescent="0.2">
      <c r="B1334" s="297" t="s">
        <v>4297</v>
      </c>
      <c r="C1334" s="298">
        <v>1</v>
      </c>
    </row>
    <row r="1335" spans="2:3" ht="15" customHeight="1" x14ac:dyDescent="0.2">
      <c r="B1335" s="297" t="s">
        <v>5012</v>
      </c>
      <c r="C1335" s="298">
        <v>1</v>
      </c>
    </row>
    <row r="1336" spans="2:3" ht="15" customHeight="1" x14ac:dyDescent="0.2">
      <c r="B1336" s="297" t="s">
        <v>5013</v>
      </c>
      <c r="C1336" s="298">
        <v>20</v>
      </c>
    </row>
    <row r="1337" spans="2:3" ht="15" customHeight="1" x14ac:dyDescent="0.2">
      <c r="B1337" s="297" t="s">
        <v>5014</v>
      </c>
      <c r="C1337" s="298">
        <v>6</v>
      </c>
    </row>
    <row r="1338" spans="2:3" ht="15" customHeight="1" x14ac:dyDescent="0.2">
      <c r="B1338" s="297" t="s">
        <v>5015</v>
      </c>
      <c r="C1338" s="298">
        <v>20</v>
      </c>
    </row>
    <row r="1339" spans="2:3" ht="15" customHeight="1" x14ac:dyDescent="0.2">
      <c r="B1339" s="297" t="s">
        <v>5016</v>
      </c>
      <c r="C1339" s="298">
        <v>10</v>
      </c>
    </row>
    <row r="1340" spans="2:3" ht="15" customHeight="1" x14ac:dyDescent="0.2">
      <c r="B1340" s="297" t="s">
        <v>5017</v>
      </c>
      <c r="C1340" s="298">
        <v>5</v>
      </c>
    </row>
    <row r="1341" spans="2:3" ht="15" customHeight="1" x14ac:dyDescent="0.2">
      <c r="B1341" s="297" t="s">
        <v>5018</v>
      </c>
      <c r="C1341" s="298">
        <v>18</v>
      </c>
    </row>
    <row r="1342" spans="2:3" ht="15" customHeight="1" x14ac:dyDescent="0.2">
      <c r="B1342" s="297" t="s">
        <v>5019</v>
      </c>
      <c r="C1342" s="298">
        <v>172</v>
      </c>
    </row>
    <row r="1343" spans="2:3" ht="15" customHeight="1" x14ac:dyDescent="0.2">
      <c r="B1343" s="297" t="s">
        <v>5020</v>
      </c>
      <c r="C1343" s="298">
        <v>3</v>
      </c>
    </row>
    <row r="1344" spans="2:3" ht="15" customHeight="1" x14ac:dyDescent="0.2">
      <c r="B1344" s="297" t="s">
        <v>5021</v>
      </c>
      <c r="C1344" s="298">
        <v>198</v>
      </c>
    </row>
    <row r="1345" spans="2:3" ht="15" customHeight="1" x14ac:dyDescent="0.2">
      <c r="B1345" s="297" t="s">
        <v>5022</v>
      </c>
      <c r="C1345" s="298">
        <v>50</v>
      </c>
    </row>
    <row r="1346" spans="2:3" ht="15" customHeight="1" x14ac:dyDescent="0.2">
      <c r="B1346" s="297" t="s">
        <v>4298</v>
      </c>
      <c r="C1346" s="298">
        <v>8</v>
      </c>
    </row>
    <row r="1347" spans="2:3" ht="15" customHeight="1" x14ac:dyDescent="0.2">
      <c r="B1347" s="297" t="s">
        <v>5023</v>
      </c>
      <c r="C1347" s="298">
        <v>71</v>
      </c>
    </row>
    <row r="1348" spans="2:3" ht="15" customHeight="1" x14ac:dyDescent="0.2">
      <c r="B1348" s="297" t="s">
        <v>5024</v>
      </c>
      <c r="C1348" s="298">
        <v>42</v>
      </c>
    </row>
    <row r="1349" spans="2:3" ht="15" customHeight="1" x14ac:dyDescent="0.2">
      <c r="B1349" s="297" t="s">
        <v>4299</v>
      </c>
      <c r="C1349" s="298">
        <v>2</v>
      </c>
    </row>
    <row r="1350" spans="2:3" ht="15" customHeight="1" x14ac:dyDescent="0.2">
      <c r="B1350" s="297" t="s">
        <v>5025</v>
      </c>
      <c r="C1350" s="298">
        <v>50</v>
      </c>
    </row>
    <row r="1351" spans="2:3" ht="15" customHeight="1" x14ac:dyDescent="0.2">
      <c r="B1351" s="297" t="s">
        <v>5026</v>
      </c>
      <c r="C1351" s="298">
        <v>50</v>
      </c>
    </row>
    <row r="1352" spans="2:3" ht="15" customHeight="1" x14ac:dyDescent="0.2">
      <c r="B1352" s="297" t="s">
        <v>5027</v>
      </c>
      <c r="C1352" s="298">
        <v>54</v>
      </c>
    </row>
    <row r="1353" spans="2:3" ht="15" customHeight="1" x14ac:dyDescent="0.2">
      <c r="B1353" s="297" t="s">
        <v>5028</v>
      </c>
      <c r="C1353" s="298">
        <v>50</v>
      </c>
    </row>
    <row r="1354" spans="2:3" ht="15" customHeight="1" x14ac:dyDescent="0.2">
      <c r="B1354" s="297" t="s">
        <v>5029</v>
      </c>
      <c r="C1354" s="298">
        <v>45</v>
      </c>
    </row>
    <row r="1355" spans="2:3" ht="15" customHeight="1" x14ac:dyDescent="0.2">
      <c r="B1355" s="297" t="s">
        <v>5030</v>
      </c>
      <c r="C1355" s="298">
        <v>143</v>
      </c>
    </row>
    <row r="1356" spans="2:3" ht="15" customHeight="1" x14ac:dyDescent="0.2">
      <c r="B1356" s="297" t="s">
        <v>5031</v>
      </c>
      <c r="C1356" s="298">
        <v>4</v>
      </c>
    </row>
    <row r="1357" spans="2:3" ht="15" customHeight="1" x14ac:dyDescent="0.2">
      <c r="B1357" s="297" t="s">
        <v>4300</v>
      </c>
      <c r="C1357" s="298">
        <v>8</v>
      </c>
    </row>
    <row r="1358" spans="2:3" ht="15" customHeight="1" x14ac:dyDescent="0.2">
      <c r="B1358" s="297" t="s">
        <v>5032</v>
      </c>
      <c r="C1358" s="298">
        <v>46</v>
      </c>
    </row>
    <row r="1359" spans="2:3" ht="15" customHeight="1" x14ac:dyDescent="0.2">
      <c r="B1359" s="297" t="s">
        <v>5033</v>
      </c>
      <c r="C1359" s="298">
        <v>50</v>
      </c>
    </row>
    <row r="1360" spans="2:3" ht="15" customHeight="1" x14ac:dyDescent="0.2">
      <c r="B1360" s="297" t="s">
        <v>5034</v>
      </c>
      <c r="C1360" s="298">
        <v>1</v>
      </c>
    </row>
    <row r="1361" spans="2:3" ht="15" customHeight="1" x14ac:dyDescent="0.2">
      <c r="B1361" s="297" t="s">
        <v>5035</v>
      </c>
      <c r="C1361" s="298">
        <v>49</v>
      </c>
    </row>
    <row r="1362" spans="2:3" ht="15" customHeight="1" x14ac:dyDescent="0.2">
      <c r="B1362" s="297" t="s">
        <v>5036</v>
      </c>
      <c r="C1362" s="298">
        <v>9</v>
      </c>
    </row>
    <row r="1363" spans="2:3" ht="15" customHeight="1" x14ac:dyDescent="0.2">
      <c r="B1363" s="297" t="s">
        <v>5037</v>
      </c>
      <c r="C1363" s="298">
        <v>47</v>
      </c>
    </row>
    <row r="1364" spans="2:3" ht="15" customHeight="1" x14ac:dyDescent="0.2">
      <c r="B1364" s="297" t="s">
        <v>5038</v>
      </c>
      <c r="C1364" s="298">
        <v>16</v>
      </c>
    </row>
    <row r="1365" spans="2:3" ht="15" customHeight="1" x14ac:dyDescent="0.2">
      <c r="B1365" s="297" t="s">
        <v>5039</v>
      </c>
      <c r="C1365" s="298">
        <v>30</v>
      </c>
    </row>
    <row r="1366" spans="2:3" ht="15" customHeight="1" x14ac:dyDescent="0.2">
      <c r="B1366" s="297" t="s">
        <v>5040</v>
      </c>
      <c r="C1366" s="298">
        <v>20</v>
      </c>
    </row>
    <row r="1367" spans="2:3" ht="15" customHeight="1" x14ac:dyDescent="0.2">
      <c r="B1367" s="297" t="s">
        <v>5041</v>
      </c>
      <c r="C1367" s="298">
        <v>20</v>
      </c>
    </row>
    <row r="1368" spans="2:3" ht="15" customHeight="1" x14ac:dyDescent="0.2">
      <c r="B1368" s="297" t="s">
        <v>5042</v>
      </c>
      <c r="C1368" s="298">
        <v>20</v>
      </c>
    </row>
    <row r="1369" spans="2:3" ht="15" customHeight="1" x14ac:dyDescent="0.2">
      <c r="B1369" s="297" t="s">
        <v>5043</v>
      </c>
      <c r="C1369" s="298">
        <v>2</v>
      </c>
    </row>
    <row r="1370" spans="2:3" ht="15" customHeight="1" x14ac:dyDescent="0.2">
      <c r="B1370" s="297" t="s">
        <v>5044</v>
      </c>
      <c r="C1370" s="298">
        <v>2</v>
      </c>
    </row>
    <row r="1371" spans="2:3" ht="15" customHeight="1" x14ac:dyDescent="0.2">
      <c r="B1371" s="297" t="s">
        <v>5046</v>
      </c>
      <c r="C1371" s="298">
        <v>3</v>
      </c>
    </row>
    <row r="1372" spans="2:3" ht="15" customHeight="1" x14ac:dyDescent="0.2">
      <c r="B1372" s="297" t="s">
        <v>5045</v>
      </c>
      <c r="C1372" s="298">
        <v>16</v>
      </c>
    </row>
    <row r="1373" spans="2:3" ht="15" customHeight="1" x14ac:dyDescent="0.2">
      <c r="B1373" s="297" t="s">
        <v>5047</v>
      </c>
      <c r="C1373" s="298">
        <v>1</v>
      </c>
    </row>
    <row r="1374" spans="2:3" ht="15" customHeight="1" x14ac:dyDescent="0.2">
      <c r="B1374" s="297" t="s">
        <v>4301</v>
      </c>
      <c r="C1374" s="298">
        <v>4</v>
      </c>
    </row>
    <row r="1375" spans="2:3" ht="15" customHeight="1" x14ac:dyDescent="0.2">
      <c r="B1375" s="297" t="s">
        <v>5049</v>
      </c>
      <c r="C1375" s="298">
        <v>314</v>
      </c>
    </row>
    <row r="1376" spans="2:3" ht="15" customHeight="1" x14ac:dyDescent="0.2">
      <c r="B1376" s="297" t="s">
        <v>5048</v>
      </c>
      <c r="C1376" s="298">
        <v>127</v>
      </c>
    </row>
    <row r="1377" spans="2:3" ht="15" customHeight="1" x14ac:dyDescent="0.2">
      <c r="B1377" s="297" t="s">
        <v>4302</v>
      </c>
      <c r="C1377" s="298">
        <v>7</v>
      </c>
    </row>
    <row r="1378" spans="2:3" ht="15" customHeight="1" x14ac:dyDescent="0.2">
      <c r="B1378" s="297" t="s">
        <v>5050</v>
      </c>
      <c r="C1378" s="298">
        <v>18</v>
      </c>
    </row>
    <row r="1379" spans="2:3" ht="15" customHeight="1" x14ac:dyDescent="0.2">
      <c r="B1379" s="297" t="s">
        <v>4303</v>
      </c>
      <c r="C1379" s="298">
        <v>23</v>
      </c>
    </row>
    <row r="1380" spans="2:3" ht="15" customHeight="1" x14ac:dyDescent="0.2">
      <c r="B1380" s="297" t="s">
        <v>4304</v>
      </c>
      <c r="C1380" s="298">
        <v>52</v>
      </c>
    </row>
    <row r="1381" spans="2:3" ht="15" customHeight="1" x14ac:dyDescent="0.2">
      <c r="B1381" s="297" t="s">
        <v>5051</v>
      </c>
      <c r="C1381" s="298">
        <v>54</v>
      </c>
    </row>
    <row r="1382" spans="2:3" ht="15" customHeight="1" x14ac:dyDescent="0.2">
      <c r="B1382" s="297" t="s">
        <v>4306</v>
      </c>
      <c r="C1382" s="298">
        <v>1</v>
      </c>
    </row>
    <row r="1383" spans="2:3" ht="15" customHeight="1" x14ac:dyDescent="0.2">
      <c r="B1383" s="297" t="s">
        <v>4305</v>
      </c>
      <c r="C1383" s="298">
        <v>1</v>
      </c>
    </row>
    <row r="1384" spans="2:3" ht="15" customHeight="1" x14ac:dyDescent="0.2">
      <c r="B1384" s="297" t="s">
        <v>5052</v>
      </c>
      <c r="C1384" s="298">
        <v>1</v>
      </c>
    </row>
    <row r="1385" spans="2:3" ht="15" customHeight="1" x14ac:dyDescent="0.2">
      <c r="B1385" s="297" t="s">
        <v>4307</v>
      </c>
      <c r="C1385" s="298">
        <v>6</v>
      </c>
    </row>
    <row r="1386" spans="2:3" ht="15" customHeight="1" x14ac:dyDescent="0.2">
      <c r="B1386" s="297" t="s">
        <v>5053</v>
      </c>
      <c r="C1386" s="298">
        <v>1</v>
      </c>
    </row>
    <row r="1387" spans="2:3" ht="15" customHeight="1" x14ac:dyDescent="0.2">
      <c r="B1387" s="297" t="s">
        <v>4308</v>
      </c>
      <c r="C1387" s="298">
        <v>13</v>
      </c>
    </row>
    <row r="1388" spans="2:3" ht="15" customHeight="1" x14ac:dyDescent="0.2">
      <c r="B1388" s="297" t="s">
        <v>5054</v>
      </c>
      <c r="C1388" s="298">
        <v>3</v>
      </c>
    </row>
    <row r="1389" spans="2:3" ht="15" customHeight="1" x14ac:dyDescent="0.2">
      <c r="B1389" s="297" t="s">
        <v>4309</v>
      </c>
      <c r="C1389" s="298">
        <v>2</v>
      </c>
    </row>
    <row r="1390" spans="2:3" ht="15" customHeight="1" x14ac:dyDescent="0.2">
      <c r="B1390" s="297" t="s">
        <v>5055</v>
      </c>
      <c r="C1390" s="298">
        <v>1</v>
      </c>
    </row>
    <row r="1391" spans="2:3" ht="15" customHeight="1" x14ac:dyDescent="0.2">
      <c r="B1391" s="297" t="s">
        <v>4310</v>
      </c>
      <c r="C1391" s="298">
        <v>2</v>
      </c>
    </row>
    <row r="1392" spans="2:3" ht="15" customHeight="1" x14ac:dyDescent="0.2">
      <c r="B1392" s="297" t="s">
        <v>4311</v>
      </c>
      <c r="C1392" s="298">
        <v>1</v>
      </c>
    </row>
    <row r="1393" spans="2:3" ht="15" customHeight="1" x14ac:dyDescent="0.2">
      <c r="B1393" s="297" t="s">
        <v>4312</v>
      </c>
      <c r="C1393" s="298">
        <v>6</v>
      </c>
    </row>
    <row r="1394" spans="2:3" ht="15" customHeight="1" x14ac:dyDescent="0.2">
      <c r="B1394" s="297" t="s">
        <v>5056</v>
      </c>
      <c r="C1394" s="298">
        <v>2</v>
      </c>
    </row>
    <row r="1395" spans="2:3" ht="15" customHeight="1" x14ac:dyDescent="0.2">
      <c r="B1395" s="297" t="s">
        <v>5057</v>
      </c>
      <c r="C1395" s="298">
        <v>3</v>
      </c>
    </row>
    <row r="1396" spans="2:3" ht="15" customHeight="1" x14ac:dyDescent="0.2">
      <c r="B1396" s="297" t="s">
        <v>4313</v>
      </c>
      <c r="C1396" s="298">
        <v>8</v>
      </c>
    </row>
    <row r="1397" spans="2:3" ht="15" customHeight="1" x14ac:dyDescent="0.2">
      <c r="B1397" s="297" t="s">
        <v>5059</v>
      </c>
      <c r="C1397" s="298">
        <v>16</v>
      </c>
    </row>
    <row r="1398" spans="2:3" ht="15" customHeight="1" x14ac:dyDescent="0.2">
      <c r="B1398" s="297" t="s">
        <v>5058</v>
      </c>
      <c r="C1398" s="298">
        <v>6</v>
      </c>
    </row>
    <row r="1399" spans="2:3" ht="15" customHeight="1" x14ac:dyDescent="0.2">
      <c r="B1399" s="297" t="s">
        <v>4315</v>
      </c>
      <c r="C1399" s="298">
        <v>2</v>
      </c>
    </row>
    <row r="1400" spans="2:3" ht="15" customHeight="1" x14ac:dyDescent="0.2">
      <c r="B1400" s="297" t="s">
        <v>4314</v>
      </c>
      <c r="C1400" s="298">
        <v>3</v>
      </c>
    </row>
    <row r="1401" spans="2:3" ht="15" customHeight="1" x14ac:dyDescent="0.2">
      <c r="B1401" s="297" t="s">
        <v>5061</v>
      </c>
      <c r="C1401" s="298">
        <v>46</v>
      </c>
    </row>
    <row r="1402" spans="2:3" ht="15" customHeight="1" x14ac:dyDescent="0.2">
      <c r="B1402" s="297" t="s">
        <v>5060</v>
      </c>
      <c r="C1402" s="298">
        <v>41</v>
      </c>
    </row>
    <row r="1403" spans="2:3" ht="15" customHeight="1" x14ac:dyDescent="0.2">
      <c r="B1403" s="297" t="s">
        <v>4316</v>
      </c>
      <c r="C1403" s="298">
        <v>1</v>
      </c>
    </row>
    <row r="1404" spans="2:3" ht="15" customHeight="1" x14ac:dyDescent="0.2">
      <c r="B1404" s="297" t="s">
        <v>5062</v>
      </c>
      <c r="C1404" s="298">
        <v>38</v>
      </c>
    </row>
    <row r="1405" spans="2:3" ht="15" customHeight="1" x14ac:dyDescent="0.2">
      <c r="B1405" s="297" t="s">
        <v>5063</v>
      </c>
      <c r="C1405" s="298">
        <v>2</v>
      </c>
    </row>
    <row r="1406" spans="2:3" ht="15" customHeight="1" x14ac:dyDescent="0.2">
      <c r="B1406" s="297" t="s">
        <v>5064</v>
      </c>
      <c r="C1406" s="298">
        <v>16</v>
      </c>
    </row>
    <row r="1407" spans="2:3" ht="15" customHeight="1" x14ac:dyDescent="0.2">
      <c r="B1407" s="297" t="s">
        <v>4317</v>
      </c>
      <c r="C1407" s="298">
        <v>2</v>
      </c>
    </row>
    <row r="1408" spans="2:3" ht="15" customHeight="1" x14ac:dyDescent="0.2">
      <c r="B1408" s="297" t="s">
        <v>5065</v>
      </c>
      <c r="C1408" s="298">
        <v>1</v>
      </c>
    </row>
    <row r="1409" spans="2:3" ht="15" customHeight="1" x14ac:dyDescent="0.2">
      <c r="B1409" s="297" t="s">
        <v>5066</v>
      </c>
      <c r="C1409" s="298">
        <v>10</v>
      </c>
    </row>
    <row r="1410" spans="2:3" ht="15" customHeight="1" x14ac:dyDescent="0.2">
      <c r="B1410" s="297" t="s">
        <v>5067</v>
      </c>
      <c r="C1410" s="298">
        <v>16</v>
      </c>
    </row>
    <row r="1411" spans="2:3" ht="15" customHeight="1" x14ac:dyDescent="0.2">
      <c r="B1411" s="297" t="s">
        <v>5068</v>
      </c>
      <c r="C1411" s="298">
        <v>8</v>
      </c>
    </row>
    <row r="1412" spans="2:3" ht="15" customHeight="1" x14ac:dyDescent="0.2">
      <c r="B1412" s="297" t="s">
        <v>5069</v>
      </c>
      <c r="C1412" s="298">
        <v>8</v>
      </c>
    </row>
    <row r="1413" spans="2:3" ht="15" customHeight="1" x14ac:dyDescent="0.2">
      <c r="B1413" s="297" t="s">
        <v>5070</v>
      </c>
      <c r="C1413" s="298">
        <v>41</v>
      </c>
    </row>
    <row r="1414" spans="2:3" ht="15" customHeight="1" x14ac:dyDescent="0.2">
      <c r="B1414" s="297" t="s">
        <v>5071</v>
      </c>
      <c r="C1414" s="298">
        <v>29</v>
      </c>
    </row>
    <row r="1415" spans="2:3" ht="15" customHeight="1" x14ac:dyDescent="0.2">
      <c r="B1415" s="297" t="s">
        <v>5072</v>
      </c>
      <c r="C1415" s="298">
        <v>60</v>
      </c>
    </row>
    <row r="1416" spans="2:3" ht="15" customHeight="1" x14ac:dyDescent="0.2">
      <c r="B1416" s="297" t="s">
        <v>5073</v>
      </c>
      <c r="C1416" s="298">
        <v>70</v>
      </c>
    </row>
    <row r="1417" spans="2:3" ht="15" customHeight="1" x14ac:dyDescent="0.2">
      <c r="B1417" s="297" t="s">
        <v>5074</v>
      </c>
      <c r="C1417" s="298">
        <v>5</v>
      </c>
    </row>
    <row r="1418" spans="2:3" ht="15" customHeight="1" x14ac:dyDescent="0.2">
      <c r="B1418" s="297" t="s">
        <v>4318</v>
      </c>
      <c r="C1418" s="298">
        <v>1</v>
      </c>
    </row>
    <row r="1419" spans="2:3" ht="15" customHeight="1" x14ac:dyDescent="0.2">
      <c r="B1419" s="297" t="s">
        <v>5075</v>
      </c>
      <c r="C1419" s="298">
        <v>50</v>
      </c>
    </row>
    <row r="1420" spans="2:3" ht="15" customHeight="1" x14ac:dyDescent="0.2">
      <c r="B1420" s="297" t="s">
        <v>5076</v>
      </c>
      <c r="C1420" s="298">
        <v>58</v>
      </c>
    </row>
    <row r="1421" spans="2:3" ht="15" customHeight="1" x14ac:dyDescent="0.2">
      <c r="B1421" s="297" t="s">
        <v>5077</v>
      </c>
      <c r="C1421" s="298">
        <v>50</v>
      </c>
    </row>
    <row r="1422" spans="2:3" ht="15" customHeight="1" x14ac:dyDescent="0.2">
      <c r="B1422" s="297" t="s">
        <v>5078</v>
      </c>
      <c r="C1422" s="298">
        <v>50</v>
      </c>
    </row>
    <row r="1423" spans="2:3" ht="15" customHeight="1" x14ac:dyDescent="0.2">
      <c r="B1423" s="297" t="s">
        <v>5079</v>
      </c>
      <c r="C1423" s="298">
        <v>48</v>
      </c>
    </row>
    <row r="1424" spans="2:3" ht="15" customHeight="1" x14ac:dyDescent="0.2">
      <c r="B1424" s="297" t="s">
        <v>5080</v>
      </c>
      <c r="C1424" s="298">
        <v>64</v>
      </c>
    </row>
    <row r="1425" spans="2:3" ht="15" customHeight="1" x14ac:dyDescent="0.2">
      <c r="B1425" s="297" t="s">
        <v>5081</v>
      </c>
      <c r="C1425" s="298">
        <v>30</v>
      </c>
    </row>
    <row r="1426" spans="2:3" ht="15" customHeight="1" x14ac:dyDescent="0.2">
      <c r="B1426" s="297" t="s">
        <v>5082</v>
      </c>
      <c r="C1426" s="298">
        <v>26</v>
      </c>
    </row>
    <row r="1427" spans="2:3" ht="15" customHeight="1" x14ac:dyDescent="0.2">
      <c r="B1427" s="297" t="s">
        <v>5083</v>
      </c>
      <c r="C1427" s="298">
        <v>16</v>
      </c>
    </row>
    <row r="1428" spans="2:3" ht="15" customHeight="1" x14ac:dyDescent="0.2">
      <c r="B1428" s="297" t="s">
        <v>5084</v>
      </c>
      <c r="C1428" s="298">
        <v>10</v>
      </c>
    </row>
    <row r="1429" spans="2:3" ht="15" customHeight="1" x14ac:dyDescent="0.2">
      <c r="B1429" s="297" t="s">
        <v>5085</v>
      </c>
      <c r="C1429" s="298">
        <v>20</v>
      </c>
    </row>
    <row r="1430" spans="2:3" ht="15" customHeight="1" x14ac:dyDescent="0.2">
      <c r="B1430" s="297" t="s">
        <v>4319</v>
      </c>
      <c r="C1430" s="298">
        <v>8</v>
      </c>
    </row>
    <row r="1431" spans="2:3" ht="15" customHeight="1" x14ac:dyDescent="0.2">
      <c r="B1431" s="297" t="s">
        <v>5086</v>
      </c>
      <c r="C1431" s="298">
        <v>30</v>
      </c>
    </row>
    <row r="1432" spans="2:3" ht="15" customHeight="1" x14ac:dyDescent="0.2">
      <c r="B1432" s="297" t="s">
        <v>4320</v>
      </c>
      <c r="C1432" s="298">
        <v>4</v>
      </c>
    </row>
    <row r="1433" spans="2:3" ht="15" customHeight="1" x14ac:dyDescent="0.2">
      <c r="B1433" s="297" t="s">
        <v>5087</v>
      </c>
      <c r="C1433" s="298">
        <v>50</v>
      </c>
    </row>
    <row r="1434" spans="2:3" ht="15" customHeight="1" x14ac:dyDescent="0.2">
      <c r="B1434" s="297" t="s">
        <v>5088</v>
      </c>
      <c r="C1434" s="298">
        <v>24</v>
      </c>
    </row>
    <row r="1435" spans="2:3" ht="15" customHeight="1" x14ac:dyDescent="0.2">
      <c r="B1435" s="297" t="s">
        <v>5089</v>
      </c>
      <c r="C1435" s="298">
        <v>20</v>
      </c>
    </row>
    <row r="1436" spans="2:3" ht="15" customHeight="1" x14ac:dyDescent="0.2">
      <c r="B1436" s="297" t="s">
        <v>5090</v>
      </c>
      <c r="C1436" s="298">
        <v>2</v>
      </c>
    </row>
    <row r="1437" spans="2:3" ht="15" customHeight="1" x14ac:dyDescent="0.2">
      <c r="B1437" s="297" t="s">
        <v>5091</v>
      </c>
      <c r="C1437" s="298">
        <v>20</v>
      </c>
    </row>
    <row r="1438" spans="2:3" ht="15" customHeight="1" x14ac:dyDescent="0.2">
      <c r="B1438" s="297" t="s">
        <v>5092</v>
      </c>
      <c r="C1438" s="298">
        <v>20</v>
      </c>
    </row>
    <row r="1439" spans="2:3" ht="15" customHeight="1" x14ac:dyDescent="0.2">
      <c r="B1439" s="297" t="s">
        <v>5093</v>
      </c>
      <c r="C1439" s="298">
        <v>8</v>
      </c>
    </row>
    <row r="1440" spans="2:3" ht="15" customHeight="1" x14ac:dyDescent="0.2">
      <c r="B1440" s="297" t="s">
        <v>5094</v>
      </c>
      <c r="C1440" s="298">
        <v>10</v>
      </c>
    </row>
    <row r="1441" spans="2:3" ht="15" customHeight="1" x14ac:dyDescent="0.2">
      <c r="B1441" s="297" t="s">
        <v>5095</v>
      </c>
      <c r="C1441" s="298">
        <v>30</v>
      </c>
    </row>
    <row r="1442" spans="2:3" ht="15" customHeight="1" x14ac:dyDescent="0.2">
      <c r="B1442" s="297" t="s">
        <v>4321</v>
      </c>
      <c r="C1442" s="298">
        <v>2</v>
      </c>
    </row>
    <row r="1443" spans="2:3" ht="15" customHeight="1" x14ac:dyDescent="0.2">
      <c r="B1443" s="297" t="s">
        <v>4322</v>
      </c>
      <c r="C1443" s="298">
        <v>2</v>
      </c>
    </row>
    <row r="1444" spans="2:3" ht="15" customHeight="1" x14ac:dyDescent="0.2">
      <c r="B1444" s="297" t="s">
        <v>5096</v>
      </c>
      <c r="C1444" s="298">
        <v>10</v>
      </c>
    </row>
    <row r="1445" spans="2:3" ht="15" customHeight="1" x14ac:dyDescent="0.2">
      <c r="B1445" s="297" t="s">
        <v>5097</v>
      </c>
      <c r="C1445" s="298">
        <v>10</v>
      </c>
    </row>
    <row r="1446" spans="2:3" ht="15" customHeight="1" x14ac:dyDescent="0.2">
      <c r="B1446" s="297" t="s">
        <v>5098</v>
      </c>
      <c r="C1446" s="298">
        <v>2</v>
      </c>
    </row>
    <row r="1447" spans="2:3" ht="15" customHeight="1" x14ac:dyDescent="0.2">
      <c r="B1447" s="297" t="s">
        <v>5099</v>
      </c>
      <c r="C1447" s="298">
        <v>10</v>
      </c>
    </row>
    <row r="1448" spans="2:3" ht="15" customHeight="1" x14ac:dyDescent="0.2">
      <c r="B1448" s="297" t="s">
        <v>5100</v>
      </c>
      <c r="C1448" s="298">
        <v>18</v>
      </c>
    </row>
    <row r="1449" spans="2:3" ht="15" customHeight="1" x14ac:dyDescent="0.2">
      <c r="B1449" s="297" t="s">
        <v>5101</v>
      </c>
      <c r="C1449" s="298">
        <v>6</v>
      </c>
    </row>
    <row r="1450" spans="2:3" ht="15" customHeight="1" x14ac:dyDescent="0.2">
      <c r="B1450" s="297" t="s">
        <v>5103</v>
      </c>
      <c r="C1450" s="298">
        <v>24</v>
      </c>
    </row>
    <row r="1451" spans="2:3" ht="15" customHeight="1" x14ac:dyDescent="0.2">
      <c r="B1451" s="297" t="s">
        <v>5102</v>
      </c>
      <c r="C1451" s="298">
        <v>68</v>
      </c>
    </row>
    <row r="1452" spans="2:3" ht="15" customHeight="1" x14ac:dyDescent="0.2">
      <c r="B1452" s="297" t="s">
        <v>4323</v>
      </c>
      <c r="C1452" s="298">
        <v>5</v>
      </c>
    </row>
    <row r="1453" spans="2:3" ht="15" customHeight="1" x14ac:dyDescent="0.2">
      <c r="B1453" s="297" t="s">
        <v>5104</v>
      </c>
      <c r="C1453" s="298">
        <v>4</v>
      </c>
    </row>
    <row r="1454" spans="2:3" ht="15" customHeight="1" x14ac:dyDescent="0.2">
      <c r="B1454" s="297" t="s">
        <v>5105</v>
      </c>
      <c r="C1454" s="298">
        <v>9</v>
      </c>
    </row>
    <row r="1455" spans="2:3" ht="15" customHeight="1" x14ac:dyDescent="0.2">
      <c r="B1455" s="297" t="s">
        <v>4324</v>
      </c>
      <c r="C1455" s="298">
        <v>10</v>
      </c>
    </row>
    <row r="1456" spans="2:3" ht="15" customHeight="1" x14ac:dyDescent="0.2">
      <c r="B1456" s="297" t="s">
        <v>4325</v>
      </c>
      <c r="C1456" s="298">
        <v>14</v>
      </c>
    </row>
    <row r="1457" spans="2:3" ht="15" customHeight="1" x14ac:dyDescent="0.2">
      <c r="B1457" s="297" t="s">
        <v>5106</v>
      </c>
      <c r="C1457" s="298">
        <v>36</v>
      </c>
    </row>
    <row r="1458" spans="2:3" ht="15" customHeight="1" x14ac:dyDescent="0.2">
      <c r="B1458" s="297" t="s">
        <v>4326</v>
      </c>
      <c r="C1458" s="298">
        <v>9</v>
      </c>
    </row>
    <row r="1459" spans="2:3" ht="15" customHeight="1" x14ac:dyDescent="0.2">
      <c r="B1459" s="297" t="s">
        <v>5107</v>
      </c>
      <c r="C1459" s="298">
        <v>77</v>
      </c>
    </row>
    <row r="1460" spans="2:3" ht="15" customHeight="1" x14ac:dyDescent="0.2">
      <c r="B1460" s="297" t="s">
        <v>4327</v>
      </c>
      <c r="C1460" s="298">
        <v>45</v>
      </c>
    </row>
    <row r="1461" spans="2:3" ht="15" customHeight="1" x14ac:dyDescent="0.2">
      <c r="B1461" s="297" t="s">
        <v>5108</v>
      </c>
      <c r="C1461" s="298">
        <v>48</v>
      </c>
    </row>
    <row r="1462" spans="2:3" ht="15" customHeight="1" x14ac:dyDescent="0.2">
      <c r="B1462" s="297" t="s">
        <v>4329</v>
      </c>
      <c r="C1462" s="298">
        <v>2</v>
      </c>
    </row>
    <row r="1463" spans="2:3" ht="15" customHeight="1" x14ac:dyDescent="0.2">
      <c r="B1463" s="297" t="s">
        <v>4330</v>
      </c>
      <c r="C1463" s="298">
        <v>2</v>
      </c>
    </row>
    <row r="1464" spans="2:3" ht="15" customHeight="1" x14ac:dyDescent="0.2">
      <c r="B1464" s="297" t="s">
        <v>4331</v>
      </c>
      <c r="C1464" s="298">
        <v>4</v>
      </c>
    </row>
    <row r="1465" spans="2:3" ht="15" customHeight="1" x14ac:dyDescent="0.2">
      <c r="B1465" s="297" t="s">
        <v>4328</v>
      </c>
      <c r="C1465" s="298">
        <v>1</v>
      </c>
    </row>
    <row r="1466" spans="2:3" ht="15" customHeight="1" x14ac:dyDescent="0.2">
      <c r="B1466" s="297" t="s">
        <v>4332</v>
      </c>
      <c r="C1466" s="298">
        <v>1</v>
      </c>
    </row>
    <row r="1467" spans="2:3" ht="15" customHeight="1" x14ac:dyDescent="0.2">
      <c r="B1467" s="297" t="s">
        <v>4333</v>
      </c>
      <c r="C1467" s="298">
        <v>24</v>
      </c>
    </row>
    <row r="1468" spans="2:3" ht="15" customHeight="1" x14ac:dyDescent="0.2">
      <c r="B1468" s="297" t="s">
        <v>4334</v>
      </c>
      <c r="C1468" s="298">
        <v>1</v>
      </c>
    </row>
    <row r="1469" spans="2:3" ht="15" customHeight="1" x14ac:dyDescent="0.2">
      <c r="B1469" s="297" t="s">
        <v>5109</v>
      </c>
      <c r="C1469" s="298">
        <v>39</v>
      </c>
    </row>
    <row r="1470" spans="2:3" ht="15" customHeight="1" x14ac:dyDescent="0.2">
      <c r="B1470" s="297" t="s">
        <v>4335</v>
      </c>
      <c r="C1470" s="298">
        <v>2</v>
      </c>
    </row>
    <row r="1471" spans="2:3" ht="15" customHeight="1" x14ac:dyDescent="0.2">
      <c r="B1471" s="297" t="s">
        <v>5110</v>
      </c>
      <c r="C1471" s="298">
        <v>10</v>
      </c>
    </row>
    <row r="1472" spans="2:3" ht="15" customHeight="1" x14ac:dyDescent="0.2">
      <c r="B1472" s="297" t="s">
        <v>4336</v>
      </c>
      <c r="C1472" s="298">
        <v>2</v>
      </c>
    </row>
    <row r="1473" spans="2:3" ht="15" customHeight="1" x14ac:dyDescent="0.2">
      <c r="B1473" s="297" t="s">
        <v>5111</v>
      </c>
      <c r="C1473" s="298">
        <v>2</v>
      </c>
    </row>
    <row r="1474" spans="2:3" ht="15" customHeight="1" x14ac:dyDescent="0.2">
      <c r="B1474" s="297" t="s">
        <v>4338</v>
      </c>
      <c r="C1474" s="298">
        <v>1</v>
      </c>
    </row>
    <row r="1475" spans="2:3" ht="15" customHeight="1" x14ac:dyDescent="0.2">
      <c r="B1475" s="297" t="s">
        <v>4337</v>
      </c>
      <c r="C1475" s="298">
        <v>2</v>
      </c>
    </row>
    <row r="1476" spans="2:3" ht="15" customHeight="1" x14ac:dyDescent="0.2">
      <c r="B1476" s="297" t="s">
        <v>4339</v>
      </c>
      <c r="C1476" s="298">
        <v>2</v>
      </c>
    </row>
    <row r="1477" spans="2:3" ht="15" customHeight="1" x14ac:dyDescent="0.2">
      <c r="B1477" s="297" t="s">
        <v>5112</v>
      </c>
      <c r="C1477" s="298">
        <v>3</v>
      </c>
    </row>
    <row r="1478" spans="2:3" ht="15" customHeight="1" x14ac:dyDescent="0.2">
      <c r="B1478" s="297" t="s">
        <v>4340</v>
      </c>
      <c r="C1478" s="298">
        <v>1</v>
      </c>
    </row>
    <row r="1479" spans="2:3" ht="15" customHeight="1" x14ac:dyDescent="0.2">
      <c r="B1479" s="297" t="s">
        <v>5113</v>
      </c>
      <c r="C1479" s="298">
        <v>2</v>
      </c>
    </row>
    <row r="1480" spans="2:3" ht="15" customHeight="1" x14ac:dyDescent="0.2">
      <c r="B1480" s="297" t="s">
        <v>4342</v>
      </c>
      <c r="C1480" s="298">
        <v>13</v>
      </c>
    </row>
    <row r="1481" spans="2:3" ht="15" customHeight="1" x14ac:dyDescent="0.2">
      <c r="B1481" s="297" t="s">
        <v>4341</v>
      </c>
      <c r="C1481" s="298">
        <v>19</v>
      </c>
    </row>
    <row r="1482" spans="2:3" ht="15" customHeight="1" x14ac:dyDescent="0.2">
      <c r="B1482" s="297" t="s">
        <v>5114</v>
      </c>
      <c r="C1482" s="298">
        <v>1</v>
      </c>
    </row>
    <row r="1483" spans="2:3" ht="15" customHeight="1" x14ac:dyDescent="0.2">
      <c r="B1483" s="297" t="s">
        <v>4343</v>
      </c>
      <c r="C1483" s="298">
        <v>8</v>
      </c>
    </row>
    <row r="1484" spans="2:3" ht="15" customHeight="1" x14ac:dyDescent="0.2">
      <c r="B1484" s="297" t="s">
        <v>5116</v>
      </c>
      <c r="C1484" s="298">
        <v>3</v>
      </c>
    </row>
    <row r="1485" spans="2:3" ht="15" customHeight="1" x14ac:dyDescent="0.2">
      <c r="B1485" s="297" t="s">
        <v>5115</v>
      </c>
      <c r="C1485" s="298">
        <v>2</v>
      </c>
    </row>
    <row r="1486" spans="2:3" ht="15" customHeight="1" x14ac:dyDescent="0.2">
      <c r="B1486" s="297" t="s">
        <v>4344</v>
      </c>
      <c r="C1486" s="298">
        <v>8</v>
      </c>
    </row>
    <row r="1487" spans="2:3" ht="15" customHeight="1" x14ac:dyDescent="0.2">
      <c r="B1487" s="297" t="s">
        <v>4345</v>
      </c>
      <c r="C1487" s="298">
        <v>2</v>
      </c>
    </row>
    <row r="1488" spans="2:3" ht="15" customHeight="1" x14ac:dyDescent="0.2">
      <c r="B1488" s="297" t="s">
        <v>5118</v>
      </c>
      <c r="C1488" s="298">
        <v>9</v>
      </c>
    </row>
    <row r="1489" spans="2:3" ht="15" customHeight="1" x14ac:dyDescent="0.2">
      <c r="B1489" s="297" t="s">
        <v>5117</v>
      </c>
      <c r="C1489" s="298">
        <v>4</v>
      </c>
    </row>
    <row r="1490" spans="2:3" ht="15" customHeight="1" x14ac:dyDescent="0.2">
      <c r="B1490" s="297" t="s">
        <v>4346</v>
      </c>
      <c r="C1490" s="298">
        <v>35</v>
      </c>
    </row>
    <row r="1491" spans="2:3" ht="15" customHeight="1" x14ac:dyDescent="0.2">
      <c r="B1491" s="297" t="s">
        <v>5119</v>
      </c>
      <c r="C1491" s="298">
        <v>2</v>
      </c>
    </row>
    <row r="1492" spans="2:3" ht="15" customHeight="1" x14ac:dyDescent="0.2">
      <c r="B1492" s="297" t="s">
        <v>4347</v>
      </c>
      <c r="C1492" s="298">
        <v>9</v>
      </c>
    </row>
    <row r="1493" spans="2:3" ht="15" customHeight="1" x14ac:dyDescent="0.2">
      <c r="B1493" s="297" t="s">
        <v>5121</v>
      </c>
      <c r="C1493" s="298">
        <v>1</v>
      </c>
    </row>
    <row r="1494" spans="2:3" ht="15" customHeight="1" x14ac:dyDescent="0.2">
      <c r="B1494" s="297" t="s">
        <v>5120</v>
      </c>
      <c r="C1494" s="298">
        <v>1</v>
      </c>
    </row>
    <row r="1495" spans="2:3" ht="15" customHeight="1" x14ac:dyDescent="0.2">
      <c r="B1495" s="297" t="s">
        <v>4348</v>
      </c>
      <c r="C1495" s="298">
        <v>23</v>
      </c>
    </row>
    <row r="1496" spans="2:3" ht="15" customHeight="1" x14ac:dyDescent="0.2">
      <c r="B1496" s="297" t="s">
        <v>5122</v>
      </c>
      <c r="C1496" s="298">
        <v>8</v>
      </c>
    </row>
    <row r="1497" spans="2:3" ht="15" customHeight="1" x14ac:dyDescent="0.2">
      <c r="B1497" s="297" t="s">
        <v>4349</v>
      </c>
      <c r="C1497" s="298">
        <v>8</v>
      </c>
    </row>
    <row r="1498" spans="2:3" ht="15" customHeight="1" x14ac:dyDescent="0.2">
      <c r="B1498" s="297" t="s">
        <v>5123</v>
      </c>
      <c r="C1498" s="298">
        <v>5</v>
      </c>
    </row>
    <row r="1499" spans="2:3" ht="15" customHeight="1" x14ac:dyDescent="0.2">
      <c r="B1499" s="297" t="s">
        <v>4350</v>
      </c>
      <c r="C1499" s="298">
        <v>3</v>
      </c>
    </row>
    <row r="1500" spans="2:3" ht="15" customHeight="1" x14ac:dyDescent="0.2">
      <c r="B1500" s="297" t="s">
        <v>5124</v>
      </c>
      <c r="C1500" s="298">
        <v>23</v>
      </c>
    </row>
    <row r="1501" spans="2:3" ht="15" customHeight="1" x14ac:dyDescent="0.2">
      <c r="B1501" s="297" t="s">
        <v>4351</v>
      </c>
      <c r="C1501" s="298">
        <v>1</v>
      </c>
    </row>
    <row r="1502" spans="2:3" ht="15" customHeight="1" x14ac:dyDescent="0.2">
      <c r="B1502" s="297" t="s">
        <v>5125</v>
      </c>
      <c r="C1502" s="298">
        <v>8</v>
      </c>
    </row>
    <row r="1503" spans="2:3" ht="15" customHeight="1" x14ac:dyDescent="0.2">
      <c r="B1503" s="297" t="s">
        <v>4352</v>
      </c>
      <c r="C1503" s="298">
        <v>36</v>
      </c>
    </row>
    <row r="1504" spans="2:3" ht="15" customHeight="1" x14ac:dyDescent="0.2">
      <c r="B1504" s="297" t="s">
        <v>4353</v>
      </c>
      <c r="C1504" s="298">
        <v>6</v>
      </c>
    </row>
    <row r="1505" spans="2:3" ht="15" customHeight="1" x14ac:dyDescent="0.2">
      <c r="B1505" s="297" t="s">
        <v>4354</v>
      </c>
      <c r="C1505" s="298">
        <v>2</v>
      </c>
    </row>
    <row r="1506" spans="2:3" ht="15" customHeight="1" x14ac:dyDescent="0.2">
      <c r="B1506" s="297" t="s">
        <v>4355</v>
      </c>
      <c r="C1506" s="298">
        <v>4</v>
      </c>
    </row>
    <row r="1507" spans="2:3" ht="15" customHeight="1" x14ac:dyDescent="0.2">
      <c r="B1507" s="297" t="s">
        <v>4356</v>
      </c>
      <c r="C1507" s="298">
        <v>7</v>
      </c>
    </row>
    <row r="1508" spans="2:3" ht="15" customHeight="1" x14ac:dyDescent="0.2">
      <c r="B1508" s="297" t="s">
        <v>5126</v>
      </c>
      <c r="C1508" s="298">
        <v>122</v>
      </c>
    </row>
    <row r="1509" spans="2:3" ht="15" customHeight="1" x14ac:dyDescent="0.2">
      <c r="B1509" s="297" t="s">
        <v>5127</v>
      </c>
      <c r="C1509" s="298">
        <v>48</v>
      </c>
    </row>
    <row r="1510" spans="2:3" ht="15" customHeight="1" x14ac:dyDescent="0.2">
      <c r="B1510" s="297" t="s">
        <v>4357</v>
      </c>
      <c r="C1510" s="298">
        <v>7</v>
      </c>
    </row>
    <row r="1511" spans="2:3" ht="15" customHeight="1" x14ac:dyDescent="0.2">
      <c r="B1511" s="297" t="s">
        <v>5128</v>
      </c>
      <c r="C1511" s="298">
        <v>109</v>
      </c>
    </row>
    <row r="1512" spans="2:3" ht="15" customHeight="1" x14ac:dyDescent="0.2">
      <c r="B1512" s="297" t="s">
        <v>4358</v>
      </c>
      <c r="C1512" s="298">
        <v>15</v>
      </c>
    </row>
    <row r="1513" spans="2:3" ht="15" customHeight="1" x14ac:dyDescent="0.2">
      <c r="B1513" s="297" t="s">
        <v>5129</v>
      </c>
      <c r="C1513" s="298">
        <v>9</v>
      </c>
    </row>
    <row r="1514" spans="2:3" ht="15" customHeight="1" x14ac:dyDescent="0.2">
      <c r="B1514" s="297" t="s">
        <v>4359</v>
      </c>
      <c r="C1514" s="298">
        <v>1</v>
      </c>
    </row>
    <row r="1515" spans="2:3" ht="15" customHeight="1" x14ac:dyDescent="0.2">
      <c r="B1515" s="297" t="s">
        <v>5130</v>
      </c>
      <c r="C1515" s="298">
        <v>89</v>
      </c>
    </row>
    <row r="1516" spans="2:3" ht="15" customHeight="1" x14ac:dyDescent="0.2">
      <c r="B1516" s="297" t="s">
        <v>4360</v>
      </c>
      <c r="C1516" s="298">
        <v>11</v>
      </c>
    </row>
    <row r="1517" spans="2:3" ht="15" customHeight="1" x14ac:dyDescent="0.2">
      <c r="B1517" s="297" t="s">
        <v>4361</v>
      </c>
      <c r="C1517" s="298">
        <v>3</v>
      </c>
    </row>
    <row r="1518" spans="2:3" ht="15" customHeight="1" x14ac:dyDescent="0.2">
      <c r="B1518" s="297" t="s">
        <v>5131</v>
      </c>
      <c r="C1518" s="298">
        <v>30</v>
      </c>
    </row>
    <row r="1519" spans="2:3" ht="15" customHeight="1" x14ac:dyDescent="0.2">
      <c r="B1519" s="297" t="s">
        <v>4362</v>
      </c>
      <c r="C1519" s="298">
        <v>36</v>
      </c>
    </row>
    <row r="1520" spans="2:3" ht="15" customHeight="1" x14ac:dyDescent="0.2">
      <c r="B1520" s="297" t="s">
        <v>4363</v>
      </c>
      <c r="C1520" s="298">
        <v>7</v>
      </c>
    </row>
    <row r="1521" spans="2:3" ht="15" customHeight="1" x14ac:dyDescent="0.2">
      <c r="B1521" s="297" t="s">
        <v>5132</v>
      </c>
      <c r="C1521" s="298">
        <v>50</v>
      </c>
    </row>
    <row r="1522" spans="2:3" ht="15" customHeight="1" x14ac:dyDescent="0.2">
      <c r="B1522" s="297" t="s">
        <v>4364</v>
      </c>
      <c r="C1522" s="298">
        <v>85</v>
      </c>
    </row>
    <row r="1523" spans="2:3" ht="15" customHeight="1" x14ac:dyDescent="0.2">
      <c r="B1523" s="297" t="s">
        <v>5133</v>
      </c>
      <c r="C1523" s="298">
        <v>92</v>
      </c>
    </row>
    <row r="1524" spans="2:3" ht="15" customHeight="1" x14ac:dyDescent="0.2">
      <c r="B1524" s="297" t="s">
        <v>4365</v>
      </c>
      <c r="C1524" s="298">
        <v>49</v>
      </c>
    </row>
    <row r="1525" spans="2:3" ht="15" customHeight="1" x14ac:dyDescent="0.2">
      <c r="B1525" s="297" t="s">
        <v>5134</v>
      </c>
      <c r="C1525" s="298">
        <v>20</v>
      </c>
    </row>
    <row r="1526" spans="2:3" ht="15" customHeight="1" x14ac:dyDescent="0.2">
      <c r="B1526" s="297" t="s">
        <v>4366</v>
      </c>
      <c r="C1526" s="298">
        <v>4</v>
      </c>
    </row>
    <row r="1527" spans="2:3" ht="15" customHeight="1" x14ac:dyDescent="0.2">
      <c r="B1527" s="297" t="s">
        <v>5135</v>
      </c>
      <c r="C1527" s="298">
        <v>12</v>
      </c>
    </row>
    <row r="1528" spans="2:3" ht="15" customHeight="1" x14ac:dyDescent="0.2">
      <c r="B1528" s="297" t="s">
        <v>5136</v>
      </c>
      <c r="C1528" s="298">
        <v>14</v>
      </c>
    </row>
    <row r="1529" spans="2:3" ht="15" customHeight="1" x14ac:dyDescent="0.2">
      <c r="B1529" s="297" t="s">
        <v>4367</v>
      </c>
      <c r="C1529" s="298">
        <v>2</v>
      </c>
    </row>
    <row r="1530" spans="2:3" ht="15" customHeight="1" x14ac:dyDescent="0.2">
      <c r="B1530" s="297" t="s">
        <v>5137</v>
      </c>
      <c r="C1530" s="298">
        <v>45</v>
      </c>
    </row>
    <row r="1531" spans="2:3" ht="15" customHeight="1" x14ac:dyDescent="0.2">
      <c r="B1531" s="297" t="s">
        <v>4368</v>
      </c>
      <c r="C1531" s="298">
        <v>13</v>
      </c>
    </row>
    <row r="1532" spans="2:3" ht="15" customHeight="1" x14ac:dyDescent="0.2">
      <c r="B1532" s="297" t="s">
        <v>5138</v>
      </c>
      <c r="C1532" s="298">
        <v>10</v>
      </c>
    </row>
    <row r="1533" spans="2:3" ht="15" customHeight="1" x14ac:dyDescent="0.2">
      <c r="B1533" s="297" t="s">
        <v>4369</v>
      </c>
      <c r="C1533" s="298">
        <v>26</v>
      </c>
    </row>
    <row r="1534" spans="2:3" ht="15" customHeight="1" x14ac:dyDescent="0.2">
      <c r="B1534" s="297" t="s">
        <v>5139</v>
      </c>
      <c r="C1534" s="298">
        <v>80</v>
      </c>
    </row>
    <row r="1535" spans="2:3" ht="15" customHeight="1" x14ac:dyDescent="0.2">
      <c r="B1535" s="297" t="s">
        <v>4370</v>
      </c>
      <c r="C1535" s="298">
        <v>1</v>
      </c>
    </row>
    <row r="1536" spans="2:3" ht="15" customHeight="1" x14ac:dyDescent="0.2">
      <c r="B1536" s="297" t="s">
        <v>4371</v>
      </c>
      <c r="C1536" s="298">
        <v>6</v>
      </c>
    </row>
    <row r="1537" spans="2:3" ht="15" customHeight="1" x14ac:dyDescent="0.2">
      <c r="B1537" s="297" t="s">
        <v>4372</v>
      </c>
      <c r="C1537" s="298">
        <v>15</v>
      </c>
    </row>
    <row r="1538" spans="2:3" ht="15" customHeight="1" x14ac:dyDescent="0.2">
      <c r="B1538" s="297" t="s">
        <v>5141</v>
      </c>
      <c r="C1538" s="298">
        <v>30</v>
      </c>
    </row>
    <row r="1539" spans="2:3" ht="15" customHeight="1" x14ac:dyDescent="0.2">
      <c r="B1539" s="297" t="s">
        <v>5140</v>
      </c>
      <c r="C1539" s="298">
        <v>38</v>
      </c>
    </row>
    <row r="1540" spans="2:3" ht="15" customHeight="1" x14ac:dyDescent="0.2">
      <c r="B1540" s="297" t="s">
        <v>5142</v>
      </c>
      <c r="C1540" s="298">
        <v>20</v>
      </c>
    </row>
    <row r="1541" spans="2:3" ht="15" customHeight="1" x14ac:dyDescent="0.2">
      <c r="B1541" s="297" t="s">
        <v>4373</v>
      </c>
      <c r="C1541" s="298">
        <v>2</v>
      </c>
    </row>
    <row r="1542" spans="2:3" ht="15" customHeight="1" x14ac:dyDescent="0.2">
      <c r="B1542" s="297" t="s">
        <v>5143</v>
      </c>
      <c r="C1542" s="298">
        <v>8</v>
      </c>
    </row>
    <row r="1543" spans="2:3" ht="15" customHeight="1" x14ac:dyDescent="0.2">
      <c r="B1543" s="297" t="s">
        <v>5144</v>
      </c>
      <c r="C1543" s="298">
        <v>10</v>
      </c>
    </row>
    <row r="1544" spans="2:3" ht="15" customHeight="1" x14ac:dyDescent="0.2">
      <c r="B1544" s="297" t="s">
        <v>4374</v>
      </c>
      <c r="C1544" s="298">
        <v>2</v>
      </c>
    </row>
    <row r="1545" spans="2:3" ht="15" customHeight="1" x14ac:dyDescent="0.2">
      <c r="B1545" s="297" t="s">
        <v>4375</v>
      </c>
      <c r="C1545" s="298">
        <v>3</v>
      </c>
    </row>
    <row r="1546" spans="2:3" ht="15" customHeight="1" x14ac:dyDescent="0.2">
      <c r="B1546" s="297" t="s">
        <v>5146</v>
      </c>
      <c r="C1546" s="298">
        <v>16</v>
      </c>
    </row>
    <row r="1547" spans="2:3" ht="15" customHeight="1" x14ac:dyDescent="0.2">
      <c r="B1547" s="297" t="s">
        <v>5145</v>
      </c>
      <c r="C1547" s="298">
        <v>20</v>
      </c>
    </row>
    <row r="1548" spans="2:3" ht="15" customHeight="1" x14ac:dyDescent="0.2">
      <c r="B1548" s="297" t="s">
        <v>5147</v>
      </c>
      <c r="C1548" s="298">
        <v>10</v>
      </c>
    </row>
    <row r="1549" spans="2:3" ht="15" customHeight="1" x14ac:dyDescent="0.2">
      <c r="B1549" s="297" t="s">
        <v>5149</v>
      </c>
      <c r="C1549" s="298">
        <v>20</v>
      </c>
    </row>
    <row r="1550" spans="2:3" ht="15" customHeight="1" x14ac:dyDescent="0.2">
      <c r="B1550" s="297" t="s">
        <v>5148</v>
      </c>
      <c r="C1550" s="298">
        <v>16</v>
      </c>
    </row>
    <row r="1551" spans="2:3" ht="15" customHeight="1" x14ac:dyDescent="0.2">
      <c r="B1551" s="297" t="s">
        <v>4376</v>
      </c>
      <c r="C1551" s="298">
        <v>1</v>
      </c>
    </row>
    <row r="1552" spans="2:3" ht="15" customHeight="1" x14ac:dyDescent="0.2">
      <c r="B1552" s="297" t="s">
        <v>4377</v>
      </c>
      <c r="C1552" s="298">
        <v>4</v>
      </c>
    </row>
    <row r="1553" spans="2:3" ht="15" customHeight="1" x14ac:dyDescent="0.2">
      <c r="B1553" s="297" t="s">
        <v>5150</v>
      </c>
      <c r="C1553" s="298">
        <v>20</v>
      </c>
    </row>
    <row r="1554" spans="2:3" ht="15" customHeight="1" x14ac:dyDescent="0.2">
      <c r="B1554" s="297" t="s">
        <v>4378</v>
      </c>
      <c r="C1554" s="298">
        <v>4</v>
      </c>
    </row>
    <row r="1555" spans="2:3" ht="15" customHeight="1" x14ac:dyDescent="0.2">
      <c r="B1555" s="297" t="s">
        <v>4379</v>
      </c>
      <c r="C1555" s="298">
        <v>18</v>
      </c>
    </row>
    <row r="1556" spans="2:3" ht="15" customHeight="1" x14ac:dyDescent="0.2">
      <c r="B1556" s="297" t="s">
        <v>5151</v>
      </c>
      <c r="C1556" s="298">
        <v>50</v>
      </c>
    </row>
    <row r="1557" spans="2:3" ht="15" customHeight="1" x14ac:dyDescent="0.2">
      <c r="B1557" s="297" t="s">
        <v>4380</v>
      </c>
      <c r="C1557" s="298">
        <v>2</v>
      </c>
    </row>
    <row r="1558" spans="2:3" ht="15" customHeight="1" x14ac:dyDescent="0.2">
      <c r="B1558" s="297" t="s">
        <v>5152</v>
      </c>
      <c r="C1558" s="298">
        <v>48</v>
      </c>
    </row>
    <row r="1559" spans="2:3" ht="15" customHeight="1" x14ac:dyDescent="0.2">
      <c r="B1559" s="297" t="s">
        <v>5153</v>
      </c>
      <c r="C1559" s="298">
        <v>83</v>
      </c>
    </row>
    <row r="1560" spans="2:3" ht="15" customHeight="1" x14ac:dyDescent="0.2">
      <c r="B1560" s="297" t="s">
        <v>4381</v>
      </c>
      <c r="C1560" s="298">
        <v>1</v>
      </c>
    </row>
    <row r="1561" spans="2:3" ht="15" customHeight="1" x14ac:dyDescent="0.2">
      <c r="B1561" s="297" t="s">
        <v>4382</v>
      </c>
      <c r="C1561" s="298">
        <v>6</v>
      </c>
    </row>
    <row r="1562" spans="2:3" ht="15" customHeight="1" x14ac:dyDescent="0.2">
      <c r="B1562" s="297" t="s">
        <v>4383</v>
      </c>
      <c r="C1562" s="298">
        <v>7</v>
      </c>
    </row>
    <row r="1563" spans="2:3" ht="15" customHeight="1" x14ac:dyDescent="0.2">
      <c r="B1563" s="297" t="s">
        <v>5154</v>
      </c>
      <c r="C1563" s="298">
        <v>31</v>
      </c>
    </row>
    <row r="1564" spans="2:3" ht="15" customHeight="1" x14ac:dyDescent="0.2">
      <c r="B1564" s="297" t="s">
        <v>4384</v>
      </c>
      <c r="C1564" s="298">
        <v>2</v>
      </c>
    </row>
    <row r="1565" spans="2:3" ht="15" customHeight="1" x14ac:dyDescent="0.2">
      <c r="B1565" s="297" t="s">
        <v>4385</v>
      </c>
      <c r="C1565" s="298">
        <v>4</v>
      </c>
    </row>
    <row r="1566" spans="2:3" ht="15" customHeight="1" x14ac:dyDescent="0.2">
      <c r="B1566" s="297" t="s">
        <v>4386</v>
      </c>
      <c r="C1566" s="298">
        <v>6</v>
      </c>
    </row>
    <row r="1567" spans="2:3" ht="15" customHeight="1" x14ac:dyDescent="0.2">
      <c r="B1567" s="297" t="s">
        <v>5155</v>
      </c>
      <c r="C1567" s="298">
        <v>97</v>
      </c>
    </row>
    <row r="1568" spans="2:3" ht="15" customHeight="1" x14ac:dyDescent="0.2">
      <c r="B1568" s="297" t="s">
        <v>5156</v>
      </c>
      <c r="C1568" s="298">
        <v>79</v>
      </c>
    </row>
    <row r="1569" spans="2:3" ht="15" customHeight="1" x14ac:dyDescent="0.2">
      <c r="B1569" s="297" t="s">
        <v>4387</v>
      </c>
      <c r="C1569" s="298">
        <v>1</v>
      </c>
    </row>
    <row r="1570" spans="2:3" ht="15" customHeight="1" x14ac:dyDescent="0.2">
      <c r="B1570" s="297" t="s">
        <v>4388</v>
      </c>
      <c r="C1570" s="298">
        <v>10</v>
      </c>
    </row>
    <row r="1571" spans="2:3" ht="15" customHeight="1" x14ac:dyDescent="0.2">
      <c r="B1571" s="297" t="s">
        <v>5158</v>
      </c>
      <c r="C1571" s="298">
        <v>13</v>
      </c>
    </row>
    <row r="1572" spans="2:3" ht="15" customHeight="1" x14ac:dyDescent="0.2">
      <c r="B1572" s="297" t="s">
        <v>5157</v>
      </c>
      <c r="C1572" s="298">
        <v>47</v>
      </c>
    </row>
    <row r="1573" spans="2:3" ht="15" customHeight="1" x14ac:dyDescent="0.2">
      <c r="B1573" s="297" t="s">
        <v>5159</v>
      </c>
      <c r="C1573" s="298">
        <v>64</v>
      </c>
    </row>
    <row r="1574" spans="2:3" ht="15" customHeight="1" x14ac:dyDescent="0.2">
      <c r="B1574" s="297" t="s">
        <v>4389</v>
      </c>
      <c r="C1574" s="298">
        <v>4</v>
      </c>
    </row>
    <row r="1575" spans="2:3" ht="15" customHeight="1" x14ac:dyDescent="0.2">
      <c r="B1575" s="297" t="s">
        <v>5160</v>
      </c>
      <c r="C1575" s="298">
        <v>10</v>
      </c>
    </row>
    <row r="1576" spans="2:3" ht="15" customHeight="1" x14ac:dyDescent="0.2">
      <c r="B1576" s="297" t="s">
        <v>5162</v>
      </c>
      <c r="C1576" s="298">
        <v>35</v>
      </c>
    </row>
    <row r="1577" spans="2:3" ht="15" customHeight="1" x14ac:dyDescent="0.2">
      <c r="B1577" s="297" t="s">
        <v>5161</v>
      </c>
      <c r="C1577" s="298">
        <v>2</v>
      </c>
    </row>
    <row r="1578" spans="2:3" ht="15" customHeight="1" x14ac:dyDescent="0.2">
      <c r="B1578" s="297" t="s">
        <v>4390</v>
      </c>
      <c r="C1578" s="298">
        <v>1</v>
      </c>
    </row>
    <row r="1579" spans="2:3" ht="15" customHeight="1" x14ac:dyDescent="0.2">
      <c r="B1579" s="297" t="s">
        <v>4391</v>
      </c>
      <c r="C1579" s="298">
        <v>1</v>
      </c>
    </row>
    <row r="1580" spans="2:3" ht="15" customHeight="1" x14ac:dyDescent="0.2">
      <c r="B1580" s="297" t="s">
        <v>5163</v>
      </c>
      <c r="C1580" s="298">
        <v>34</v>
      </c>
    </row>
    <row r="1581" spans="2:3" ht="15" customHeight="1" x14ac:dyDescent="0.2">
      <c r="B1581" s="297" t="s">
        <v>4392</v>
      </c>
      <c r="C1581" s="298">
        <v>2</v>
      </c>
    </row>
    <row r="1582" spans="2:3" ht="15" customHeight="1" x14ac:dyDescent="0.2">
      <c r="B1582" s="297" t="s">
        <v>4393</v>
      </c>
      <c r="C1582" s="298">
        <v>4</v>
      </c>
    </row>
    <row r="1583" spans="2:3" ht="15" customHeight="1" x14ac:dyDescent="0.2">
      <c r="B1583" s="297" t="s">
        <v>5164</v>
      </c>
      <c r="C1583" s="298">
        <v>24</v>
      </c>
    </row>
    <row r="1584" spans="2:3" ht="15" customHeight="1" x14ac:dyDescent="0.2">
      <c r="B1584" s="297" t="s">
        <v>4394</v>
      </c>
      <c r="C1584" s="298">
        <v>6</v>
      </c>
    </row>
  </sheetData>
  <autoFilter ref="B1:C1584">
    <sortState ref="B2:C1584">
      <sortCondition ref="B1:B158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8"/>
  <sheetViews>
    <sheetView zoomScale="115" zoomScaleNormal="115" workbookViewId="0">
      <selection activeCell="A31" sqref="A31:A34"/>
    </sheetView>
  </sheetViews>
  <sheetFormatPr defaultRowHeight="15" x14ac:dyDescent="0.25"/>
  <cols>
    <col min="1" max="1" width="61.28515625" style="299" customWidth="1"/>
    <col min="2" max="2" width="36.28515625" style="299" bestFit="1" customWidth="1"/>
    <col min="3" max="3" width="59.5703125" style="299" bestFit="1" customWidth="1"/>
    <col min="4" max="4" width="16.140625" style="299" bestFit="1" customWidth="1"/>
    <col min="5" max="5" width="9.28515625" style="299" bestFit="1" customWidth="1"/>
  </cols>
  <sheetData>
    <row r="1" spans="1:5" s="67" customFormat="1" ht="15" customHeight="1" x14ac:dyDescent="0.25">
      <c r="A1" s="304" t="s">
        <v>19</v>
      </c>
      <c r="B1" s="304"/>
      <c r="C1" s="304"/>
      <c r="D1" s="304"/>
      <c r="E1" s="304"/>
    </row>
    <row r="2" spans="1:5" s="67" customFormat="1" ht="1.5" customHeight="1" x14ac:dyDescent="0.25">
      <c r="A2" s="290"/>
      <c r="B2" s="69"/>
      <c r="C2" s="69"/>
      <c r="D2" s="69"/>
      <c r="E2" s="71"/>
    </row>
    <row r="3" spans="1:5" s="67" customFormat="1" ht="41.25" customHeight="1" x14ac:dyDescent="0.25">
      <c r="A3" s="305" t="s">
        <v>724</v>
      </c>
      <c r="B3" s="305"/>
      <c r="C3" s="305"/>
      <c r="D3" s="305"/>
      <c r="E3" s="305"/>
    </row>
    <row r="4" spans="1:5" s="68" customFormat="1" ht="14.25" customHeight="1" x14ac:dyDescent="0.25">
      <c r="A4" s="309" t="s">
        <v>3593</v>
      </c>
      <c r="B4" s="309"/>
      <c r="C4" s="309"/>
      <c r="D4" s="309"/>
      <c r="E4" s="309"/>
    </row>
    <row r="5" spans="1:5" s="66" customFormat="1" x14ac:dyDescent="0.25">
      <c r="A5" s="291" t="s">
        <v>3589</v>
      </c>
      <c r="B5" s="308" t="s">
        <v>3588</v>
      </c>
      <c r="C5" s="308"/>
      <c r="D5" s="97" t="s">
        <v>3586</v>
      </c>
      <c r="E5" s="306" t="s">
        <v>316</v>
      </c>
    </row>
    <row r="6" spans="1:5" s="66" customFormat="1" ht="25.5" x14ac:dyDescent="0.25">
      <c r="A6" s="291" t="s">
        <v>3590</v>
      </c>
      <c r="B6" s="308"/>
      <c r="C6" s="308"/>
      <c r="D6" s="97" t="s">
        <v>3587</v>
      </c>
      <c r="E6" s="306"/>
    </row>
    <row r="7" spans="1:5" s="8" customFormat="1" ht="12.75" x14ac:dyDescent="0.25">
      <c r="A7" s="307" t="s">
        <v>3549</v>
      </c>
      <c r="B7" s="306" t="s">
        <v>317</v>
      </c>
      <c r="C7" s="235" t="s">
        <v>318</v>
      </c>
      <c r="D7" s="306" t="s">
        <v>319</v>
      </c>
      <c r="E7" s="235" t="s">
        <v>316</v>
      </c>
    </row>
    <row r="8" spans="1:5" s="8" customFormat="1" ht="12.75" customHeight="1" x14ac:dyDescent="0.25">
      <c r="A8" s="307"/>
      <c r="B8" s="306"/>
      <c r="C8" s="235" t="s">
        <v>320</v>
      </c>
      <c r="D8" s="306"/>
      <c r="E8" s="235" t="s">
        <v>316</v>
      </c>
    </row>
    <row r="9" spans="1:5" s="8" customFormat="1" ht="12.75" x14ac:dyDescent="0.25">
      <c r="A9" s="307"/>
      <c r="B9" s="306"/>
      <c r="C9" s="235" t="s">
        <v>321</v>
      </c>
      <c r="D9" s="306"/>
      <c r="E9" s="235" t="s">
        <v>316</v>
      </c>
    </row>
    <row r="10" spans="1:5" s="68" customFormat="1" ht="12.75" x14ac:dyDescent="0.25">
      <c r="A10" s="307"/>
      <c r="B10" s="306"/>
      <c r="C10" s="235" t="s">
        <v>3551</v>
      </c>
      <c r="D10" s="306"/>
      <c r="E10" s="235" t="s">
        <v>316</v>
      </c>
    </row>
    <row r="11" spans="1:5" s="68" customFormat="1" ht="12.75" x14ac:dyDescent="0.25">
      <c r="A11" s="307"/>
      <c r="B11" s="306"/>
      <c r="C11" s="235" t="s">
        <v>322</v>
      </c>
      <c r="D11" s="306"/>
      <c r="E11" s="235" t="s">
        <v>316</v>
      </c>
    </row>
    <row r="12" spans="1:5" s="8" customFormat="1" ht="12.75" x14ac:dyDescent="0.25">
      <c r="A12" s="307"/>
      <c r="B12" s="306"/>
      <c r="C12" s="235" t="s">
        <v>3554</v>
      </c>
      <c r="D12" s="306"/>
      <c r="E12" s="235" t="s">
        <v>316</v>
      </c>
    </row>
    <row r="13" spans="1:5" s="68" customFormat="1" ht="12.75" x14ac:dyDescent="0.25">
      <c r="A13" s="307"/>
      <c r="B13" s="306"/>
      <c r="C13" s="235" t="s">
        <v>3552</v>
      </c>
      <c r="D13" s="306"/>
      <c r="E13" s="235" t="s">
        <v>316</v>
      </c>
    </row>
    <row r="14" spans="1:5" s="68" customFormat="1" ht="12.75" x14ac:dyDescent="0.25">
      <c r="A14" s="307"/>
      <c r="B14" s="306"/>
      <c r="C14" s="235" t="s">
        <v>3553</v>
      </c>
      <c r="D14" s="306"/>
      <c r="E14" s="235" t="s">
        <v>316</v>
      </c>
    </row>
    <row r="15" spans="1:5" s="68" customFormat="1" ht="63.75" x14ac:dyDescent="0.25">
      <c r="A15" s="103" t="s">
        <v>3550</v>
      </c>
      <c r="B15" s="97" t="s">
        <v>3565</v>
      </c>
      <c r="C15" s="235" t="s">
        <v>3591</v>
      </c>
      <c r="D15" s="306"/>
      <c r="E15" s="235" t="s">
        <v>316</v>
      </c>
    </row>
    <row r="16" spans="1:5" ht="127.5" x14ac:dyDescent="0.25">
      <c r="A16" s="103" t="s">
        <v>3555</v>
      </c>
      <c r="B16" s="103" t="s">
        <v>3556</v>
      </c>
      <c r="C16" s="103" t="s">
        <v>3592</v>
      </c>
      <c r="D16" s="103"/>
      <c r="E16" s="235" t="s">
        <v>316</v>
      </c>
    </row>
    <row r="17" spans="1:5" x14ac:dyDescent="0.25">
      <c r="A17" s="103" t="s">
        <v>3557</v>
      </c>
      <c r="B17" s="103"/>
      <c r="C17" s="103" t="s">
        <v>3558</v>
      </c>
      <c r="D17" s="103"/>
      <c r="E17" s="235" t="s">
        <v>316</v>
      </c>
    </row>
    <row r="18" spans="1:5" x14ac:dyDescent="0.25">
      <c r="A18" s="289" t="s">
        <v>3559</v>
      </c>
      <c r="B18" s="103"/>
      <c r="C18" s="103"/>
      <c r="D18" s="103"/>
      <c r="E18" s="235" t="s">
        <v>316</v>
      </c>
    </row>
    <row r="19" spans="1:5" x14ac:dyDescent="0.25">
      <c r="A19" s="289" t="s">
        <v>3560</v>
      </c>
      <c r="B19" s="103"/>
      <c r="C19" s="103"/>
      <c r="D19" s="103"/>
      <c r="E19" s="235" t="s">
        <v>316</v>
      </c>
    </row>
    <row r="20" spans="1:5" x14ac:dyDescent="0.25">
      <c r="A20" s="289" t="s">
        <v>3561</v>
      </c>
      <c r="B20" s="103"/>
      <c r="C20" s="103"/>
      <c r="D20" s="103"/>
      <c r="E20" s="235" t="s">
        <v>316</v>
      </c>
    </row>
    <row r="21" spans="1:5" x14ac:dyDescent="0.25">
      <c r="A21" s="289" t="s">
        <v>3562</v>
      </c>
      <c r="B21" s="103"/>
      <c r="C21" s="103"/>
      <c r="D21" s="103"/>
      <c r="E21" s="235" t="s">
        <v>316</v>
      </c>
    </row>
    <row r="22" spans="1:5" x14ac:dyDescent="0.25">
      <c r="A22" s="289" t="s">
        <v>3563</v>
      </c>
      <c r="B22" s="103"/>
      <c r="C22" s="103"/>
      <c r="D22" s="103"/>
      <c r="E22" s="235" t="s">
        <v>316</v>
      </c>
    </row>
    <row r="23" spans="1:5" x14ac:dyDescent="0.25">
      <c r="A23" s="289" t="s">
        <v>3564</v>
      </c>
      <c r="B23" s="103"/>
      <c r="C23" s="103"/>
      <c r="D23" s="103"/>
      <c r="E23" s="235" t="s">
        <v>316</v>
      </c>
    </row>
    <row r="24" spans="1:5" x14ac:dyDescent="0.25">
      <c r="A24" s="308" t="s">
        <v>3567</v>
      </c>
      <c r="B24" s="311" t="s">
        <v>3583</v>
      </c>
      <c r="C24" s="102" t="s">
        <v>3585</v>
      </c>
      <c r="D24" s="97"/>
      <c r="E24" s="235" t="s">
        <v>316</v>
      </c>
    </row>
    <row r="25" spans="1:5" s="66" customFormat="1" x14ac:dyDescent="0.25">
      <c r="A25" s="308"/>
      <c r="B25" s="311"/>
      <c r="C25" s="102" t="s">
        <v>3584</v>
      </c>
      <c r="D25" s="97"/>
      <c r="E25" s="235" t="s">
        <v>316</v>
      </c>
    </row>
    <row r="26" spans="1:5" s="66" customFormat="1" x14ac:dyDescent="0.25">
      <c r="A26" s="308"/>
      <c r="B26" s="311"/>
      <c r="C26" s="102" t="s">
        <v>3571</v>
      </c>
      <c r="D26" s="97"/>
      <c r="E26" s="235" t="s">
        <v>316</v>
      </c>
    </row>
    <row r="27" spans="1:5" ht="38.25" x14ac:dyDescent="0.25">
      <c r="A27" s="310" t="s">
        <v>3566</v>
      </c>
      <c r="B27" s="311" t="s">
        <v>3580</v>
      </c>
      <c r="C27" s="102" t="s">
        <v>3581</v>
      </c>
      <c r="D27" s="97" t="s">
        <v>3579</v>
      </c>
      <c r="E27" s="235" t="s">
        <v>316</v>
      </c>
    </row>
    <row r="28" spans="1:5" s="66" customFormat="1" x14ac:dyDescent="0.25">
      <c r="A28" s="310"/>
      <c r="B28" s="311"/>
      <c r="C28" s="102" t="s">
        <v>3582</v>
      </c>
      <c r="D28" s="97"/>
      <c r="E28" s="235" t="s">
        <v>316</v>
      </c>
    </row>
    <row r="29" spans="1:5" x14ac:dyDescent="0.25">
      <c r="A29" s="289" t="s">
        <v>3568</v>
      </c>
      <c r="B29" s="97"/>
      <c r="C29" s="97"/>
      <c r="D29" s="97"/>
      <c r="E29" s="235" t="s">
        <v>316</v>
      </c>
    </row>
    <row r="30" spans="1:5" x14ac:dyDescent="0.25">
      <c r="A30" s="289" t="s">
        <v>3569</v>
      </c>
      <c r="B30" s="97"/>
      <c r="C30" s="97" t="s">
        <v>3571</v>
      </c>
      <c r="D30" s="97"/>
      <c r="E30" s="235" t="s">
        <v>316</v>
      </c>
    </row>
    <row r="31" spans="1:5" x14ac:dyDescent="0.25">
      <c r="A31" s="310" t="s">
        <v>3570</v>
      </c>
      <c r="B31" s="97" t="s">
        <v>3576</v>
      </c>
      <c r="C31" s="102" t="s">
        <v>3575</v>
      </c>
      <c r="D31" s="97" t="s">
        <v>3572</v>
      </c>
      <c r="E31" s="235" t="s">
        <v>316</v>
      </c>
    </row>
    <row r="32" spans="1:5" x14ac:dyDescent="0.25">
      <c r="A32" s="310"/>
      <c r="B32" s="97"/>
      <c r="C32" s="97" t="s">
        <v>3574</v>
      </c>
      <c r="D32" s="97" t="s">
        <v>3573</v>
      </c>
      <c r="E32" s="235" t="s">
        <v>316</v>
      </c>
    </row>
    <row r="33" spans="1:5" x14ac:dyDescent="0.25">
      <c r="A33" s="310"/>
      <c r="B33" s="97" t="s">
        <v>3578</v>
      </c>
      <c r="C33" s="97" t="s">
        <v>3577</v>
      </c>
      <c r="D33" s="97"/>
      <c r="E33" s="235" t="s">
        <v>316</v>
      </c>
    </row>
    <row r="34" spans="1:5" x14ac:dyDescent="0.25">
      <c r="A34" s="310"/>
      <c r="B34" s="97"/>
      <c r="C34" s="97" t="s">
        <v>3571</v>
      </c>
      <c r="D34" s="97"/>
      <c r="E34" s="235" t="s">
        <v>316</v>
      </c>
    </row>
    <row r="35" spans="1:5" x14ac:dyDescent="0.25">
      <c r="A35" s="68"/>
      <c r="B35" s="68"/>
      <c r="C35" s="68"/>
      <c r="D35" s="68"/>
      <c r="E35" s="68"/>
    </row>
    <row r="36" spans="1:5" x14ac:dyDescent="0.25">
      <c r="A36" s="68"/>
      <c r="B36" s="68"/>
      <c r="C36" s="68"/>
      <c r="D36" s="68"/>
      <c r="E36" s="68"/>
    </row>
    <row r="37" spans="1:5" x14ac:dyDescent="0.25">
      <c r="A37" s="68"/>
      <c r="B37" s="68"/>
      <c r="C37" s="68"/>
      <c r="D37" s="68"/>
      <c r="E37" s="68"/>
    </row>
    <row r="38" spans="1:5" x14ac:dyDescent="0.25">
      <c r="A38" s="68"/>
      <c r="B38" s="68"/>
      <c r="C38" s="68"/>
      <c r="D38" s="68"/>
      <c r="E38" s="68"/>
    </row>
    <row r="39" spans="1:5" x14ac:dyDescent="0.25">
      <c r="A39" s="68"/>
      <c r="B39" s="68"/>
      <c r="C39" s="68"/>
      <c r="D39" s="68"/>
      <c r="E39" s="68"/>
    </row>
    <row r="40" spans="1:5" x14ac:dyDescent="0.25">
      <c r="A40" s="68"/>
      <c r="B40" s="68"/>
      <c r="C40" s="68"/>
      <c r="D40" s="68"/>
      <c r="E40" s="68"/>
    </row>
    <row r="41" spans="1:5" x14ac:dyDescent="0.25">
      <c r="A41" s="68"/>
      <c r="B41" s="68"/>
      <c r="C41" s="68"/>
      <c r="D41" s="68"/>
      <c r="E41" s="68"/>
    </row>
    <row r="42" spans="1:5" x14ac:dyDescent="0.25">
      <c r="A42" s="68"/>
      <c r="B42" s="68"/>
      <c r="C42" s="68"/>
      <c r="D42" s="68"/>
      <c r="E42" s="68"/>
    </row>
    <row r="43" spans="1:5" x14ac:dyDescent="0.25">
      <c r="A43" s="68"/>
      <c r="B43" s="68"/>
      <c r="C43" s="68"/>
      <c r="D43" s="68"/>
      <c r="E43" s="68"/>
    </row>
    <row r="44" spans="1:5" x14ac:dyDescent="0.25">
      <c r="A44" s="68"/>
      <c r="B44" s="68"/>
      <c r="C44" s="68"/>
      <c r="D44" s="68"/>
      <c r="E44" s="68"/>
    </row>
    <row r="45" spans="1:5" x14ac:dyDescent="0.25">
      <c r="A45" s="68"/>
      <c r="B45" s="68"/>
      <c r="C45" s="68"/>
      <c r="D45" s="68"/>
      <c r="E45" s="68"/>
    </row>
    <row r="46" spans="1:5" x14ac:dyDescent="0.25">
      <c r="A46" s="68"/>
      <c r="B46" s="68"/>
      <c r="C46" s="68"/>
      <c r="D46" s="68"/>
      <c r="E46" s="68"/>
    </row>
    <row r="47" spans="1:5" x14ac:dyDescent="0.25">
      <c r="A47" s="68"/>
      <c r="B47" s="68"/>
      <c r="C47" s="68"/>
      <c r="D47" s="68"/>
      <c r="E47" s="68"/>
    </row>
    <row r="48" spans="1:5" x14ac:dyDescent="0.25">
      <c r="A48" s="68"/>
      <c r="B48" s="68"/>
      <c r="C48" s="68"/>
      <c r="D48" s="68"/>
      <c r="E48" s="68"/>
    </row>
    <row r="49" spans="1:5" x14ac:dyDescent="0.25">
      <c r="A49" s="68"/>
      <c r="B49" s="68"/>
      <c r="C49" s="68"/>
      <c r="D49" s="68"/>
      <c r="E49" s="68"/>
    </row>
    <row r="50" spans="1:5" x14ac:dyDescent="0.25">
      <c r="A50" s="68"/>
      <c r="B50" s="68"/>
      <c r="C50" s="68"/>
      <c r="D50" s="68"/>
      <c r="E50" s="68"/>
    </row>
    <row r="51" spans="1:5" x14ac:dyDescent="0.25">
      <c r="A51" s="68"/>
      <c r="B51" s="68"/>
      <c r="C51" s="68"/>
      <c r="D51" s="68"/>
      <c r="E51" s="68"/>
    </row>
    <row r="52" spans="1:5" x14ac:dyDescent="0.25">
      <c r="A52" s="68"/>
      <c r="B52" s="68"/>
      <c r="C52" s="68"/>
      <c r="D52" s="68"/>
      <c r="E52" s="68"/>
    </row>
    <row r="53" spans="1:5" x14ac:dyDescent="0.25">
      <c r="A53" s="68"/>
      <c r="B53" s="68"/>
      <c r="C53" s="68"/>
      <c r="D53" s="68"/>
      <c r="E53" s="68"/>
    </row>
    <row r="54" spans="1:5" x14ac:dyDescent="0.25">
      <c r="A54" s="68"/>
      <c r="B54" s="68"/>
      <c r="C54" s="68"/>
      <c r="D54" s="68"/>
      <c r="E54" s="68"/>
    </row>
    <row r="55" spans="1:5" x14ac:dyDescent="0.25">
      <c r="A55" s="68"/>
      <c r="B55" s="68"/>
      <c r="C55" s="68"/>
      <c r="D55" s="68"/>
      <c r="E55" s="68"/>
    </row>
    <row r="56" spans="1:5" x14ac:dyDescent="0.25">
      <c r="A56" s="68"/>
      <c r="B56" s="68"/>
      <c r="C56" s="68"/>
      <c r="D56" s="68"/>
      <c r="E56" s="68"/>
    </row>
    <row r="57" spans="1:5" x14ac:dyDescent="0.25">
      <c r="A57" s="68"/>
      <c r="B57" s="68"/>
      <c r="C57" s="68"/>
      <c r="D57" s="68"/>
      <c r="E57" s="68"/>
    </row>
    <row r="58" spans="1:5" x14ac:dyDescent="0.25">
      <c r="A58" s="68"/>
      <c r="B58" s="68"/>
      <c r="C58" s="68"/>
      <c r="D58" s="68"/>
      <c r="E58" s="68"/>
    </row>
  </sheetData>
  <mergeCells count="13">
    <mergeCell ref="A31:A34"/>
    <mergeCell ref="A27:A28"/>
    <mergeCell ref="B27:B28"/>
    <mergeCell ref="B24:B26"/>
    <mergeCell ref="A24:A26"/>
    <mergeCell ref="A3:E3"/>
    <mergeCell ref="A1:E1"/>
    <mergeCell ref="D7:D15"/>
    <mergeCell ref="A7:A14"/>
    <mergeCell ref="E5:E6"/>
    <mergeCell ref="B7:B14"/>
    <mergeCell ref="B5:C6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</vt:lpstr>
      <vt:lpstr>Труба</vt:lpstr>
      <vt:lpstr>Строит-й сорт</vt:lpstr>
      <vt:lpstr>Машиностроит-й.сорт</vt:lpstr>
      <vt:lpstr>Детали трубопровода</vt:lpstr>
      <vt:lpstr>Металлоконструкции и соед.детал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User Windows</cp:lastModifiedBy>
  <cp:lastPrinted>2019-08-06T10:22:14Z</cp:lastPrinted>
  <dcterms:created xsi:type="dcterms:W3CDTF">2019-06-17T13:15:27Z</dcterms:created>
  <dcterms:modified xsi:type="dcterms:W3CDTF">2020-05-19T06:36:51Z</dcterms:modified>
</cp:coreProperties>
</file>